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148" documentId="8_{8F59FD9F-50FA-454F-8599-D35A606EB7F0}" xr6:coauthVersionLast="47" xr6:coauthVersionMax="47" xr10:uidLastSave="{EFD5372C-D166-4B32-88C7-367805950A64}"/>
  <bookViews>
    <workbookView xWindow="-57720" yWindow="-1200" windowWidth="29040" windowHeight="15840" tabRatio="822" activeTab="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0" i="114" l="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<sst xmlns="http://schemas.openxmlformats.org/spreadsheetml/2006/main" count="62549" uniqueCount="5156">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</sst>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 zeroHeight="1"/>
  <cols>
    <col min="1" max="1" width="2.58203125" style="1536" customWidth="1"/>
    <col min="2" max="2" width="2.08203125" style="1536" customWidth="1"/>
    <col min="3" max="3" width="133" style="171" customWidth="1"/>
    <col min="4" max="4" width="2.08203125" style="1536" customWidth="1"/>
    <col min="5" max="5" width="8.08203125" style="1536" customWidth="1"/>
    <col min="6" max="16384" width="9" style="1536" hidden="1"/>
  </cols>
  <sheetData>
    <row r="1" spans="2:4" ht="30">
      <c r="B1" s="396" t="s">
        <v>0</v>
      </c>
      <c r="C1" s="246"/>
      <c r="D1" s="246"/>
    </row>
    <row r="2" spans="2:4" ht="20.5" thickBot="1">
      <c r="B2" s="1537"/>
      <c r="C2" s="1536"/>
    </row>
    <row r="3" spans="2:4" ht="22">
      <c r="B3" s="1541" t="s">
        <v>1</v>
      </c>
      <c r="C3" s="1542"/>
      <c r="D3" s="1543"/>
    </row>
    <row r="4" spans="2:4" ht="207.75" customHeight="1">
      <c r="B4" s="1545"/>
      <c r="C4" s="1538" t="s">
        <v>2</v>
      </c>
      <c r="D4" s="1544"/>
    </row>
    <row r="5" spans="2:4" ht="40" customHeight="1">
      <c r="B5" s="1545"/>
      <c r="C5" s="1538" t="s">
        <v>3</v>
      </c>
      <c r="D5" s="1544"/>
    </row>
    <row r="6" spans="2:4" ht="22">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2">
      <c r="B15" s="1814"/>
      <c r="C15" s="2050" t="s">
        <v>13</v>
      </c>
      <c r="D15" s="1815"/>
    </row>
    <row r="16" spans="2:4" s="1813" customFormat="1" ht="30" customHeight="1">
      <c r="B16" s="1814"/>
      <c r="C16" s="2049" t="s">
        <v>14</v>
      </c>
      <c r="D16" s="1815"/>
    </row>
    <row r="17" spans="2:5" s="1813" customFormat="1" ht="85"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2">
      <c r="B22" s="1546" t="s">
        <v>20</v>
      </c>
      <c r="C22" s="1539"/>
      <c r="D22" s="1547"/>
    </row>
    <row r="23" spans="2:5" ht="30" customHeight="1">
      <c r="B23" s="1545"/>
      <c r="C23" s="1538" t="s">
        <v>21</v>
      </c>
      <c r="D23" s="1544"/>
    </row>
    <row r="24" spans="2:5" ht="22">
      <c r="B24" s="1546" t="s">
        <v>22</v>
      </c>
      <c r="C24" s="1539"/>
      <c r="D24" s="1547"/>
    </row>
    <row r="25" spans="2:5" ht="45" customHeight="1">
      <c r="B25" s="1545"/>
      <c r="C25" s="1538" t="s">
        <v>23</v>
      </c>
      <c r="D25" s="1544"/>
    </row>
    <row r="26" spans="2:5" ht="22">
      <c r="B26" s="1546" t="s">
        <v>24</v>
      </c>
      <c r="C26" s="1539"/>
      <c r="D26" s="1547"/>
    </row>
    <row r="27" spans="2:5" ht="20.149999999999999" customHeight="1">
      <c r="B27" s="1545"/>
      <c r="C27" s="1538" t="s">
        <v>25</v>
      </c>
      <c r="D27" s="1544"/>
      <c r="E27" s="1860"/>
    </row>
    <row r="28" spans="2:5" ht="20.149999999999999" customHeight="1">
      <c r="B28" s="1545"/>
      <c r="C28" s="2052" t="s">
        <v>26</v>
      </c>
      <c r="D28" s="1544"/>
    </row>
    <row r="29" spans="2:5" ht="20.149999999999999" customHeight="1">
      <c r="B29" s="1545"/>
      <c r="C29" s="2052" t="s">
        <v>27</v>
      </c>
      <c r="D29" s="1544"/>
    </row>
    <row r="30" spans="2:5" ht="20.149999999999999"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abSelected="1" topLeftCell="A5" zoomScaleNormal="100" zoomScaleSheetLayoutView="100" workbookViewId="0">
      <selection activeCell="F13" sqref="F13"/>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64"/>
      <c r="D1" s="2165"/>
      <c r="E1" s="2165"/>
      <c r="F1" s="6"/>
      <c r="G1" s="6"/>
      <c r="S1" s="1970" t="str">
        <f>'Validation summary'!$B$2</f>
        <v>2023-24</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Northumbrian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597</v>
      </c>
      <c r="C9" s="308" t="s">
        <v>598</v>
      </c>
      <c r="D9" s="373" t="s">
        <v>599</v>
      </c>
      <c r="E9" s="2095"/>
      <c r="F9" s="2096"/>
      <c r="G9" s="2097"/>
      <c r="H9" s="352"/>
      <c r="I9" s="352"/>
      <c r="J9" s="352"/>
      <c r="K9" s="352"/>
      <c r="L9" s="352"/>
      <c r="N9" s="26"/>
      <c r="P9" s="292" t="s">
        <v>600</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601</v>
      </c>
      <c r="C10" s="308" t="s">
        <v>598</v>
      </c>
      <c r="D10" s="373" t="s">
        <v>599</v>
      </c>
      <c r="E10" s="2098"/>
      <c r="F10" s="2096"/>
      <c r="G10" s="2099"/>
      <c r="H10" s="353"/>
      <c r="I10" s="353"/>
      <c r="J10" s="353"/>
      <c r="K10" s="353"/>
      <c r="L10" s="353"/>
      <c r="N10" s="26"/>
      <c r="P10" s="292" t="s">
        <v>602</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178</v>
      </c>
      <c r="C11" s="308" t="s">
        <v>598</v>
      </c>
      <c r="D11" s="373" t="s">
        <v>599</v>
      </c>
      <c r="E11" s="2095"/>
      <c r="F11" s="2096"/>
      <c r="G11" s="2099"/>
      <c r="H11" s="353"/>
      <c r="I11" s="353"/>
      <c r="J11" s="353"/>
      <c r="K11" s="353"/>
      <c r="L11" s="353"/>
      <c r="N11" s="26"/>
      <c r="P11" s="292" t="s">
        <v>603</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604</v>
      </c>
      <c r="C12" s="308" t="s">
        <v>605</v>
      </c>
      <c r="D12" s="1301" t="s">
        <v>606</v>
      </c>
      <c r="E12" s="1969">
        <v>4716.8</v>
      </c>
      <c r="F12" s="1837">
        <v>714.3</v>
      </c>
      <c r="G12" s="1834">
        <f>IFERROR(ROUND((F12 / E12)*1000,1),"")</f>
        <v>151.4</v>
      </c>
      <c r="H12" s="356"/>
      <c r="I12" s="356"/>
      <c r="J12" s="356"/>
      <c r="K12" s="356"/>
      <c r="L12" s="356"/>
      <c r="N12" s="26"/>
      <c r="P12" s="292" t="s">
        <v>607</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608</v>
      </c>
      <c r="AU12" s="1472" t="s">
        <v>609</v>
      </c>
      <c r="AV12" s="1465" t="s">
        <v>610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628</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38">
        <v>202.70000000000002</v>
      </c>
      <c r="E18" s="1838">
        <v>199.9</v>
      </c>
      <c r="F18" s="1838">
        <v>197.5</v>
      </c>
      <c r="G18" s="1840">
        <f>IFERROR(ROUND(AVERAGE(D18:F18),1),"")</f>
        <v>200</v>
      </c>
      <c r="H18" s="1839">
        <v>206.01728557997356</v>
      </c>
      <c r="I18" s="1839">
        <v>189.8</v>
      </c>
      <c r="J18" s="1967">
        <v>174.4</v>
      </c>
      <c r="K18" s="1845">
        <v>174.7</v>
      </c>
      <c r="L18" s="1845"/>
      <c r="M18" s="1965">
        <f>IFERROR(IF('Validation summary'!$B$2="2023-24",ROUND(AVERAGE($I18:$K18),1),IF('Validation summary'!$B$2="2024-25",ROUND(AVERAGE($J18:$L18),1),ROUND(AVERAGE($H18:$J18),1))),"")</f>
        <v>179.6</v>
      </c>
      <c r="N18" s="1841">
        <f>IFERROR((1-M18/G18)*100,"")</f>
        <v>10.199999999999998</v>
      </c>
      <c r="P18" s="292" t="s">
        <v>631</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632</v>
      </c>
      <c r="AW18" s="1514"/>
      <c r="AX18" s="1515" t="s">
        <v>633</v>
      </c>
      <c r="AY18" s="1514"/>
      <c r="AZ18" s="1514"/>
      <c r="BA18" s="1514"/>
      <c r="BB18" s="1513" t="s">
        <v>634</v>
      </c>
      <c r="BC18" s="1513" t="s">
        <v>161</v>
      </c>
    </row>
    <row r="19" spans="2:55" s="21" customFormat="1" ht="25.5" customHeight="1">
      <c r="B19" s="308" t="s">
        <v>604</v>
      </c>
      <c r="C19" s="308" t="s">
        <v>605</v>
      </c>
      <c r="D19" s="1838">
        <v>148.69999999999999</v>
      </c>
      <c r="E19" s="1838">
        <v>153.6</v>
      </c>
      <c r="F19" s="1838">
        <v>149.6</v>
      </c>
      <c r="G19" s="1840">
        <f>IFERROR(ROUND(AVERAGE(D19:F19),1),"")</f>
        <v>150.6</v>
      </c>
      <c r="H19" s="1839">
        <v>165.7</v>
      </c>
      <c r="I19" s="1839">
        <v>157.80000000000001</v>
      </c>
      <c r="J19" s="2117">
        <v>153.80000000000001</v>
      </c>
      <c r="K19" s="1981">
        <v>151.4</v>
      </c>
      <c r="L19" s="1966">
        <f>$G$12</f>
        <v>151.4</v>
      </c>
      <c r="M19" s="1965">
        <f>IFERROR(IF('Validation summary'!$B$2="2023-24",ROUND(AVERAGE($I19:$K19),1),IF('Validation summary'!$B$2="2024-25",ROUND(AVERAGE($J19:$L19),1),ROUND(AVERAGE($H19:$J19),1))),"")</f>
        <v>154.30000000000001</v>
      </c>
      <c r="N19" s="1841">
        <f>IFERROR((1-M19/G19)*100,"")</f>
        <v>-2.4568393094289709</v>
      </c>
      <c r="P19" s="292" t="s">
        <v>635</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636</v>
      </c>
      <c r="AW19" s="1514"/>
      <c r="AX19" s="1515" t="s">
        <v>610</v>
      </c>
      <c r="AY19" s="1514"/>
      <c r="AZ19" s="1514"/>
      <c r="BA19" s="1514"/>
      <c r="BB19" s="1513" t="s">
        <v>637</v>
      </c>
      <c r="BC19" s="1513" t="s">
        <v>170</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591</v>
      </c>
      <c r="AT22" s="2135" t="s">
        <v>638</v>
      </c>
      <c r="AU22" s="2135" t="s">
        <v>639</v>
      </c>
      <c r="AV22" s="2135" t="s">
        <v>640</v>
      </c>
      <c r="AW22" s="2135" t="s">
        <v>641</v>
      </c>
      <c r="AX22" s="1356"/>
      <c r="AY22" s="1356"/>
      <c r="AZ22" s="1356"/>
      <c r="BA22" s="1356"/>
      <c r="BB22" s="1356"/>
      <c r="BC22" s="1356"/>
    </row>
    <row r="23" spans="2:55" s="9" customFormat="1" ht="15.5">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149999999999999" customHeight="1">
      <c r="B24" s="309" t="s">
        <v>154</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73" t="s">
        <v>643</v>
      </c>
      <c r="E25" s="2085"/>
      <c r="F25" s="2100"/>
      <c r="G25" s="2101"/>
      <c r="H25" s="2102"/>
      <c r="I25" s="364"/>
      <c r="J25" s="364"/>
      <c r="K25" s="364"/>
      <c r="L25" s="364"/>
      <c r="M25" s="349"/>
      <c r="N25" s="26"/>
      <c r="P25" s="292" t="s">
        <v>644</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149999999999999"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645</v>
      </c>
      <c r="AS28" s="2135" t="s">
        <v>646</v>
      </c>
      <c r="AT28" s="2135" t="s">
        <v>647</v>
      </c>
      <c r="AU28" s="1356"/>
      <c r="AV28" s="1356"/>
      <c r="AW28" s="1356"/>
      <c r="AX28" s="1356"/>
      <c r="AY28" s="1356"/>
      <c r="AZ28" s="1356"/>
      <c r="BA28" s="1356"/>
      <c r="BB28" s="1356"/>
      <c r="BC28" s="1356"/>
    </row>
    <row r="29" spans="2:55" s="9" customFormat="1" ht="15.5">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5">
      <c r="B30" s="309" t="s">
        <v>648</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184</v>
      </c>
      <c r="C31" s="2103"/>
      <c r="D31" s="2104"/>
      <c r="E31" s="2105"/>
      <c r="F31" s="255"/>
      <c r="G31" s="26"/>
      <c r="H31" s="26"/>
      <c r="I31" s="26"/>
      <c r="J31" s="26"/>
      <c r="K31" s="26"/>
      <c r="L31" s="26"/>
      <c r="M31" s="26"/>
      <c r="N31" s="26"/>
      <c r="P31" s="292" t="s">
        <v>649</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5">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650</v>
      </c>
      <c r="D34" s="2135" t="s">
        <v>651</v>
      </c>
      <c r="E34" s="2135" t="s">
        <v>652</v>
      </c>
      <c r="F34" s="2135" t="s">
        <v>653</v>
      </c>
      <c r="G34" s="2135" t="s">
        <v>654</v>
      </c>
      <c r="H34" s="2135" t="s">
        <v>655</v>
      </c>
      <c r="I34" s="2135" t="s">
        <v>656</v>
      </c>
      <c r="J34" s="2135" t="s">
        <v>657</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650</v>
      </c>
      <c r="AS34" s="2135" t="s">
        <v>651</v>
      </c>
      <c r="AT34" s="2135" t="s">
        <v>652</v>
      </c>
      <c r="AU34" s="2135" t="s">
        <v>653</v>
      </c>
      <c r="AV34" s="2135" t="s">
        <v>654</v>
      </c>
      <c r="AW34" s="2135" t="s">
        <v>655</v>
      </c>
      <c r="AX34" s="2135" t="s">
        <v>656</v>
      </c>
      <c r="AY34" s="2135" t="s">
        <v>657</v>
      </c>
    </row>
    <row r="35" spans="2:51" s="9" customFormat="1" ht="15.5">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6">
      <c r="B36" s="309" t="s">
        <v>658</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658</v>
      </c>
      <c r="C37" s="2095"/>
      <c r="D37" s="2096"/>
      <c r="E37" s="2106"/>
      <c r="F37" s="2096"/>
      <c r="G37" s="2101"/>
      <c r="H37" s="2106"/>
      <c r="I37" s="2101"/>
      <c r="J37" s="2106"/>
      <c r="P37" s="292" t="s">
        <v>659</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5">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7" zoomScaleNormal="100" zoomScaleSheetLayoutView="100" workbookViewId="0">
      <selection activeCell="H18" sqref="H18:K18"/>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
      </c>
      <c r="D1" s="2167"/>
      <c r="E1" s="2167"/>
      <c r="F1" s="2167"/>
      <c r="G1" s="6"/>
      <c r="S1" s="1970"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Northumbrian Water - NW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c r="F12" s="1843"/>
      <c r="G12" s="1844" t="str">
        <f>IFERROR(IF('Validation summary'!$B$3="South Staffs Water",ROUND((F12 / E12)*1000,1),""),"")</f>
        <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660</v>
      </c>
      <c r="AU12" s="1475" t="s">
        <v>661</v>
      </c>
      <c r="AV12" s="1476" t="s">
        <v>662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135.80000000000001</v>
      </c>
      <c r="E18" s="1845">
        <v>135</v>
      </c>
      <c r="F18" s="1845">
        <v>133.6</v>
      </c>
      <c r="G18" s="1846">
        <f>IFERROR(IF(OR('Validation summary'!$B$3="Northumbrian Water",'Validation summary'!$B$3="South Staffs Water"),ROUND(AVERAGE(D18:F18),1),""),"")</f>
        <v>134.80000000000001</v>
      </c>
      <c r="H18" s="1847">
        <v>140</v>
      </c>
      <c r="I18" s="1847">
        <v>130.5</v>
      </c>
      <c r="J18" s="1847">
        <v>118.8</v>
      </c>
      <c r="K18" s="1963">
        <v>118.6</v>
      </c>
      <c r="L18" s="1963"/>
      <c r="M18" s="1846">
        <f>IFERROR(IF(OR('Validation summary'!$B$3="Northumbrian Water",'Validation summary'!$B$3="South Staffs Water"),IF('Validation summary'!$B$2="2023-24",ROUND(AVERAGE($I18:$K18),1),IF('Validation summary'!$B$2="2024-25",ROUND(AVERAGE($J18:$L18),1),ROUND(AVERAGE($H18:$J18),1))),""),"")</f>
        <v>122.6</v>
      </c>
      <c r="N18" s="1846">
        <f>IFERROR(IF(OR('Validation summary'!$B$3="Northumbrian Water",'Validation summary'!$B$3="South Staffs Water"),(1-M18/G18)*100,""),"")</f>
        <v>9.0504451038575731</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663</v>
      </c>
      <c r="AW18" s="1477"/>
      <c r="AX18" s="1479" t="s">
        <v>664</v>
      </c>
      <c r="AY18" s="1477"/>
      <c r="AZ18" s="1477"/>
      <c r="BA18" s="1477"/>
      <c r="BB18" s="1511" t="s">
        <v>665</v>
      </c>
      <c r="BC18" s="1511" t="s">
        <v>666</v>
      </c>
    </row>
    <row r="19" spans="2:55" s="21" customFormat="1" ht="25.5" customHeight="1">
      <c r="B19" s="308" t="s">
        <v>604</v>
      </c>
      <c r="C19" s="308" t="s">
        <v>605</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667</v>
      </c>
      <c r="AW19" s="1477"/>
      <c r="AX19" s="1480" t="s">
        <v>662</v>
      </c>
      <c r="AY19" s="1477"/>
      <c r="AZ19" s="1477"/>
      <c r="BA19" s="1477"/>
      <c r="BB19" s="1511" t="s">
        <v>668</v>
      </c>
      <c r="BC19" s="1511" t="s">
        <v>669</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2" zoomScaleNormal="100" zoomScaleSheetLayoutView="100" workbookViewId="0">
      <selection activeCell="I9" sqref="I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
      </c>
      <c r="D1" s="2167"/>
      <c r="E1" s="2167"/>
      <c r="F1" s="2167"/>
      <c r="G1" s="6"/>
      <c r="S1" s="1970"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Northumbrian Water - ESW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c r="F12" s="1843"/>
      <c r="G12" s="1844" t="str">
        <f>IFERROR(IF('Validation summary'!$B$3="South Staffs Water",ROUND((F12 / E12)*1000,1),""),"")</f>
        <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670</v>
      </c>
      <c r="AU12" s="1475" t="s">
        <v>671</v>
      </c>
      <c r="AV12" s="1476" t="s">
        <v>672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66.900000000000006</v>
      </c>
      <c r="E18" s="1845">
        <v>64.900000000000006</v>
      </c>
      <c r="F18" s="1845">
        <v>63.9</v>
      </c>
      <c r="G18" s="1846">
        <f>IFERROR(IF(OR('Validation summary'!$B$3="Northumbrian Water",'Validation summary'!$B$3="South Staffs Water"),ROUND(AVERAGE(D18:F18),1),""),"")</f>
        <v>65.2</v>
      </c>
      <c r="H18" s="1847">
        <v>66.01728557997356</v>
      </c>
      <c r="I18" s="1847">
        <v>59.3</v>
      </c>
      <c r="J18" s="1847">
        <v>55.6</v>
      </c>
      <c r="K18" s="1963">
        <v>56.1</v>
      </c>
      <c r="L18" s="1963"/>
      <c r="M18" s="1846">
        <f>IFERROR(IF(OR('Validation summary'!$B$3="Northumbrian Water",'Validation summary'!$B$3="South Staffs Water"),IF('Validation summary'!$B$2="2023-24",ROUND(AVERAGE($I18:$K18),1),IF('Validation summary'!$B$2="2024-25",ROUND(AVERAGE($J18:$L18),1),ROUND(AVERAGE($H18:$J18),1))),""),"")</f>
        <v>57</v>
      </c>
      <c r="N18" s="1846">
        <f>IFERROR(IF(OR('Validation summary'!$B$3="Northumbrian Water",'Validation summary'!$B$3="South Staffs Water"),(1-M18/G18)*100,""),"")</f>
        <v>12.576687116564422</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673</v>
      </c>
      <c r="AW18" s="1477"/>
      <c r="AX18" s="1479" t="s">
        <v>674</v>
      </c>
      <c r="AY18" s="1477"/>
      <c r="AZ18" s="1477"/>
      <c r="BA18" s="1477"/>
      <c r="BB18" s="1511" t="s">
        <v>675</v>
      </c>
      <c r="BC18" s="1511" t="s">
        <v>165</v>
      </c>
    </row>
    <row r="19" spans="2:55" s="21" customFormat="1" ht="25.5" customHeight="1">
      <c r="B19" s="308" t="s">
        <v>604</v>
      </c>
      <c r="C19" s="308" t="s">
        <v>605</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676</v>
      </c>
      <c r="AW19" s="1477"/>
      <c r="AX19" s="1480" t="s">
        <v>672</v>
      </c>
      <c r="AY19" s="1477"/>
      <c r="AZ19" s="1477"/>
      <c r="BA19" s="1477"/>
      <c r="BB19" s="1511" t="s">
        <v>677</v>
      </c>
      <c r="BC19" s="1511" t="s">
        <v>174</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2067" t="s">
        <v>116</v>
      </c>
      <c r="D1" s="6"/>
      <c r="F1" s="6"/>
      <c r="G1" s="6"/>
      <c r="H1" s="6"/>
      <c r="M1" s="1970" t="str">
        <f>'Validation summary'!$B$2</f>
        <v>2023-24</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Northumbrian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5">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5">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591</v>
      </c>
      <c r="F6" s="2135" t="s">
        <v>638</v>
      </c>
      <c r="G6" s="2135" t="s">
        <v>678</v>
      </c>
      <c r="H6" s="2135" t="s">
        <v>679</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591</v>
      </c>
      <c r="AN6" s="2135" t="s">
        <v>638</v>
      </c>
      <c r="AO6" s="2135" t="s">
        <v>678</v>
      </c>
      <c r="AP6" s="2135" t="s">
        <v>679</v>
      </c>
    </row>
    <row r="7" spans="2:42" s="9" customFormat="1" ht="15.5">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680</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680</v>
      </c>
      <c r="AK8" s="285"/>
      <c r="AL8" s="284"/>
      <c r="AM8" s="284"/>
      <c r="AN8" s="284"/>
      <c r="AO8" s="284"/>
      <c r="AP8" s="284"/>
    </row>
    <row r="9" spans="2:42" s="21" customFormat="1" ht="55.15" customHeight="1">
      <c r="B9" s="308" t="s">
        <v>681</v>
      </c>
      <c r="C9" s="293" t="str">
        <f>IF(OR($J$3="Select company",'Validation summary'!$F$3="WoC"),"",VLOOKUP('3A'!$R$1,C_ISF,2,0))</f>
        <v>PR19NES_COM08</v>
      </c>
      <c r="D9" s="308" t="s">
        <v>682</v>
      </c>
      <c r="E9" s="373" t="s">
        <v>683</v>
      </c>
      <c r="F9" s="2085"/>
      <c r="G9" s="2090"/>
      <c r="H9" s="2091"/>
      <c r="J9" s="292" t="s">
        <v>684</v>
      </c>
      <c r="L9" s="2083"/>
      <c r="M9" s="2084"/>
      <c r="N9" s="256"/>
      <c r="O9" s="2168"/>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PR19NES_COM08</v>
      </c>
      <c r="AL9" s="308" t="str">
        <f t="shared" si="0"/>
        <v>Number of internal sewer flooding incidents per 10,000 sewer connection</v>
      </c>
      <c r="AM9" s="373" t="str">
        <f t="shared" si="0"/>
        <v>Number of sewer connections</v>
      </c>
      <c r="AN9" s="1481"/>
      <c r="AO9" s="1485"/>
      <c r="AP9" s="1462"/>
    </row>
    <row r="10" spans="2:42" s="21" customFormat="1" ht="55.15" customHeight="1">
      <c r="B10" s="308" t="s">
        <v>685</v>
      </c>
      <c r="C10" s="293" t="str">
        <f>IF(OR($J$3="Select company",'Validation summary'!$F$3="WoC"),"",VLOOKUP('3A'!$R$1,C_ISF,2,0))</f>
        <v>PR19NES_COM08</v>
      </c>
      <c r="D10" s="308" t="s">
        <v>682</v>
      </c>
      <c r="E10" s="373" t="s">
        <v>683</v>
      </c>
      <c r="F10" s="2092"/>
      <c r="G10" s="2090"/>
      <c r="H10" s="2091"/>
      <c r="J10" s="292" t="s">
        <v>686</v>
      </c>
      <c r="L10" s="2083"/>
      <c r="M10" s="2084"/>
      <c r="N10" s="256"/>
      <c r="O10" s="2168"/>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PR19NES_COM08</v>
      </c>
      <c r="AL10" s="308" t="str">
        <f t="shared" si="0"/>
        <v>Number of internal sewer flooding incidents per 10,000 sewer connection</v>
      </c>
      <c r="AM10" s="373" t="str">
        <f t="shared" si="0"/>
        <v>Number of sewer connections</v>
      </c>
      <c r="AN10" s="1481"/>
      <c r="AO10" s="1485"/>
      <c r="AP10" s="1462"/>
    </row>
    <row r="11" spans="2:42" s="21" customFormat="1" ht="55.15" customHeight="1">
      <c r="B11" s="308" t="s">
        <v>687</v>
      </c>
      <c r="C11" s="293" t="str">
        <f>IF(OR($J$3="Select company",'Validation summary'!$F$3="WoC"),"",VLOOKUP('3A'!$R$1,C_ISF,2,0))</f>
        <v>PR19NES_COM08</v>
      </c>
      <c r="D11" s="308" t="s">
        <v>682</v>
      </c>
      <c r="E11" s="373" t="s">
        <v>683</v>
      </c>
      <c r="F11" s="2085"/>
      <c r="G11" s="2093"/>
      <c r="H11" s="2091"/>
      <c r="J11" s="292" t="s">
        <v>688</v>
      </c>
      <c r="L11" s="2083"/>
      <c r="M11" s="2084"/>
      <c r="N11" s="256"/>
      <c r="O11" s="2168"/>
      <c r="V11" s="1357"/>
      <c r="W11" s="325"/>
      <c r="X11" s="325"/>
      <c r="Y11" s="325"/>
      <c r="Z11" s="325"/>
      <c r="AA11" s="325"/>
      <c r="AB11" s="1357"/>
      <c r="AC11" s="329"/>
      <c r="AD11" s="329"/>
      <c r="AE11" s="329"/>
      <c r="AF11" s="325"/>
      <c r="AG11" s="329"/>
      <c r="AH11" s="1357"/>
      <c r="AJ11" s="308" t="str">
        <f t="shared" si="1"/>
        <v>Internal sewer flooding</v>
      </c>
      <c r="AK11" s="308" t="str">
        <f t="shared" si="0"/>
        <v>PR19NES_COM08</v>
      </c>
      <c r="AL11" s="308" t="str">
        <f t="shared" si="0"/>
        <v>Number of internal sewer flooding incidents per 10,000 sewer connection</v>
      </c>
      <c r="AM11" s="373" t="str">
        <f t="shared" si="0"/>
        <v>Number of sewer connections</v>
      </c>
      <c r="AN11" s="1483"/>
      <c r="AO11" s="1484"/>
      <c r="AP11" s="1462"/>
    </row>
    <row r="12" spans="2:42" s="21" customFormat="1" ht="55.15" customHeight="1">
      <c r="B12" s="308" t="s">
        <v>689</v>
      </c>
      <c r="C12" s="293" t="str">
        <f>IF(OR($J$3="Select company",'Validation summary'!$F$3="WoC"),"",VLOOKUP('3A'!$R$1,C_PI,2,0))</f>
        <v>PR19NES_COM09</v>
      </c>
      <c r="D12" s="308" t="s">
        <v>690</v>
      </c>
      <c r="E12" s="308" t="s">
        <v>691</v>
      </c>
      <c r="F12" s="2094"/>
      <c r="G12" s="2088"/>
      <c r="H12" s="2091"/>
      <c r="J12" s="292" t="s">
        <v>692</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PR19NES_COM09</v>
      </c>
      <c r="AL12" s="308" t="str">
        <f t="shared" si="0"/>
        <v>Pollution incidents per 10,000 km of sewer length</v>
      </c>
      <c r="AM12" s="373" t="str">
        <f t="shared" si="0"/>
        <v>Sewer length in km</v>
      </c>
      <c r="AN12" s="1483"/>
      <c r="AO12" s="1485"/>
      <c r="AP12" s="1462"/>
    </row>
    <row r="13" spans="2:42" s="21" customFormat="1" ht="55.15" customHeight="1">
      <c r="B13" s="308" t="s">
        <v>693</v>
      </c>
      <c r="C13" s="293" t="str">
        <f>IF(OR($J$3="Select company",'Validation summary'!$F$3="WoC"),"",VLOOKUP('3A'!$R$1,C_SC,2,0))</f>
        <v>PR19NES_COM14</v>
      </c>
      <c r="D13" s="308" t="s">
        <v>694</v>
      </c>
      <c r="E13" s="373" t="s">
        <v>691</v>
      </c>
      <c r="F13" s="2085"/>
      <c r="G13" s="2090"/>
      <c r="H13" s="2091"/>
      <c r="J13" s="292" t="s">
        <v>695</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PR19NES_COM14</v>
      </c>
      <c r="AL13" s="308" t="str">
        <f t="shared" si="0"/>
        <v>Number of sewer collapses per 1,000 km of all sewers</v>
      </c>
      <c r="AM13" s="373" t="str">
        <f t="shared" si="0"/>
        <v>Sewer length in km</v>
      </c>
      <c r="AN13" s="1483"/>
      <c r="AO13" s="1485"/>
      <c r="AP13" s="1462"/>
    </row>
    <row r="14" spans="2:42" s="9" customFormat="1" ht="14.5">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5">
      <c r="B15" s="276" t="s">
        <v>299</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5">
      <c r="V16" s="1358"/>
      <c r="W16" s="334"/>
      <c r="X16" s="334"/>
      <c r="Y16" s="334"/>
      <c r="Z16" s="334"/>
      <c r="AA16" s="334"/>
      <c r="AB16" s="322"/>
      <c r="AC16" s="322"/>
      <c r="AD16" s="322"/>
      <c r="AE16" s="322"/>
      <c r="AF16" s="335"/>
      <c r="AG16" s="322"/>
      <c r="AH16" s="1358"/>
    </row>
    <row r="17" spans="2:34" ht="15.5">
      <c r="B17" s="1818" t="s">
        <v>300</v>
      </c>
      <c r="V17" s="1358"/>
      <c r="W17" s="334"/>
      <c r="X17" s="334"/>
      <c r="Y17" s="334"/>
      <c r="Z17" s="334"/>
      <c r="AA17" s="334"/>
      <c r="AB17" s="322"/>
      <c r="AC17" s="322"/>
      <c r="AD17" s="322"/>
      <c r="AE17" s="322"/>
      <c r="AF17" s="335"/>
      <c r="AG17" s="322"/>
      <c r="AH17" s="1358"/>
    </row>
    <row r="18" spans="2:34" ht="15.5">
      <c r="V18" s="1358"/>
      <c r="W18" s="334"/>
      <c r="X18" s="334"/>
      <c r="Y18" s="334"/>
      <c r="Z18" s="334"/>
      <c r="AA18" s="334"/>
      <c r="AB18" s="322"/>
      <c r="AC18" s="322"/>
      <c r="AD18" s="322"/>
      <c r="AE18" s="322"/>
      <c r="AF18" s="335"/>
      <c r="AG18" s="322"/>
      <c r="AH18" s="1358"/>
    </row>
    <row r="19" spans="2:34" ht="26">
      <c r="B19" s="1968" t="s">
        <v>301</v>
      </c>
      <c r="V19" s="1358"/>
      <c r="W19" s="334"/>
      <c r="X19" s="334"/>
      <c r="Y19" s="334"/>
      <c r="Z19" s="334"/>
      <c r="AA19" s="334"/>
      <c r="AB19" s="322"/>
      <c r="AC19" s="322"/>
      <c r="AD19" s="322"/>
      <c r="AE19" s="322"/>
      <c r="AF19" s="335"/>
      <c r="AG19" s="322"/>
      <c r="AH19" s="1358"/>
    </row>
    <row r="20" spans="2:34" ht="15.5">
      <c r="V20" s="1358"/>
      <c r="W20" s="334"/>
      <c r="X20" s="334"/>
      <c r="Y20" s="334"/>
      <c r="Z20" s="334"/>
      <c r="AA20" s="334"/>
      <c r="AB20" s="322"/>
      <c r="AC20" s="322"/>
      <c r="AD20" s="322"/>
      <c r="AE20" s="322"/>
      <c r="AF20" s="335"/>
      <c r="AG20" s="322"/>
      <c r="AH20" s="1358"/>
    </row>
    <row r="21" spans="2:34" ht="15.5">
      <c r="B21" s="1819" t="s">
        <v>302</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820" t="s">
        <v>303</v>
      </c>
    </row>
    <row r="24" spans="2:34"/>
    <row r="25" spans="2:34" ht="14.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C11" sqref="C11"/>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970" t="str">
        <f>'Validation summary'!$B$2</f>
        <v>2023-24</v>
      </c>
      <c r="V1" s="319"/>
      <c r="AB1" s="319"/>
      <c r="AH1" s="319"/>
    </row>
    <row r="2" spans="2:37" s="1" customFormat="1" ht="10.15" customHeight="1">
      <c r="B2" s="7"/>
      <c r="C2" s="7"/>
      <c r="V2" s="319"/>
      <c r="AB2" s="319"/>
      <c r="AH2" s="319"/>
    </row>
    <row r="3" spans="2:37" s="9" customFormat="1" ht="31.5" customHeight="1">
      <c r="B3" s="295" t="s">
        <v>696</v>
      </c>
      <c r="C3" s="295"/>
      <c r="D3" s="295"/>
      <c r="E3" s="295"/>
      <c r="F3" s="1671"/>
      <c r="G3" s="307" t="str">
        <f>'Validation summary'!$B$3</f>
        <v>Northumbrian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697</v>
      </c>
      <c r="D6" s="280"/>
      <c r="E6" s="2135" t="s">
        <v>137</v>
      </c>
      <c r="F6" s="15"/>
      <c r="G6" s="1356"/>
      <c r="H6" s="1356"/>
      <c r="I6" s="2134" t="s">
        <v>138</v>
      </c>
      <c r="J6" s="2134" t="s">
        <v>139</v>
      </c>
      <c r="K6" s="1356"/>
      <c r="L6" s="1356"/>
      <c r="M6" s="1356"/>
      <c r="N6" s="1356"/>
      <c r="O6" s="1356"/>
      <c r="P6" s="1356"/>
      <c r="Q6" s="1356"/>
      <c r="R6" s="1356"/>
      <c r="S6" s="1356"/>
      <c r="T6" s="1356"/>
      <c r="U6" s="1356"/>
      <c r="V6" s="1357"/>
      <c r="W6" s="327" t="s">
        <v>698</v>
      </c>
      <c r="X6" s="1356"/>
      <c r="Y6" s="1356"/>
      <c r="Z6" s="1356"/>
      <c r="AA6" s="1356"/>
      <c r="AB6" s="1357"/>
      <c r="AC6" s="327" t="s">
        <v>699</v>
      </c>
      <c r="AD6" s="1356"/>
      <c r="AE6" s="327"/>
      <c r="AF6" s="327"/>
      <c r="AG6" s="1356"/>
      <c r="AH6" s="1357"/>
      <c r="AI6" s="1356"/>
      <c r="AJ6" s="2136" t="s">
        <v>129</v>
      </c>
      <c r="AK6" s="2135" t="s">
        <v>697</v>
      </c>
    </row>
    <row r="7" spans="2:37" s="9" customFormat="1" ht="15.5">
      <c r="B7" s="282"/>
      <c r="C7" s="2135" t="s">
        <v>700</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5">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701</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702</v>
      </c>
      <c r="C10" s="1829">
        <f>'Model outputs - Aggregate level'!$F40</f>
        <v>0.20307510000000001</v>
      </c>
      <c r="D10" s="35"/>
      <c r="E10" s="292" t="s">
        <v>703</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704</v>
      </c>
    </row>
    <row r="11" spans="2:37" s="9" customFormat="1" ht="20.25" customHeight="1">
      <c r="B11" s="288" t="s">
        <v>705</v>
      </c>
      <c r="C11" s="1829">
        <f>'Model outputs - Aggregate level'!$F41</f>
        <v>-2.0464246753333324</v>
      </c>
      <c r="D11" s="35"/>
      <c r="E11" s="292" t="s">
        <v>706</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707</v>
      </c>
    </row>
    <row r="12" spans="2:37" s="9" customFormat="1" ht="20.25" customHeight="1">
      <c r="B12" s="288" t="s">
        <v>708</v>
      </c>
      <c r="C12" s="1829">
        <f>'Model outputs - Aggregate level'!$F42</f>
        <v>1.2332081959999961</v>
      </c>
      <c r="D12" s="35"/>
      <c r="E12" s="292" t="s">
        <v>709</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710</v>
      </c>
    </row>
    <row r="13" spans="2:37" s="9" customFormat="1" ht="20.25" customHeight="1">
      <c r="B13" s="288" t="s">
        <v>711</v>
      </c>
      <c r="C13" s="1829">
        <f>'Model outputs - Aggregate level'!$F43</f>
        <v>4.1681177999999999E-2</v>
      </c>
      <c r="D13" s="35"/>
      <c r="E13" s="292" t="s">
        <v>712</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713</v>
      </c>
    </row>
    <row r="14" spans="2:37" s="9" customFormat="1" ht="20.25" customHeight="1">
      <c r="B14" s="288" t="s">
        <v>714</v>
      </c>
      <c r="C14" s="1829">
        <f>'Model outputs - Aggregate level'!$F44</f>
        <v>1.4388588680000001</v>
      </c>
      <c r="D14" s="35"/>
      <c r="E14" s="292" t="s">
        <v>715</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716</v>
      </c>
    </row>
    <row r="15" spans="2:37" s="9" customFormat="1" ht="20.25" customHeight="1">
      <c r="B15" s="288" t="s">
        <v>717</v>
      </c>
      <c r="C15" s="1829">
        <f>'Model outputs - Aggregate level'!$F45</f>
        <v>0</v>
      </c>
      <c r="D15" s="35"/>
      <c r="E15" s="292" t="s">
        <v>718</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719</v>
      </c>
    </row>
    <row r="16" spans="2:37" s="9" customFormat="1" ht="20.25" customHeight="1">
      <c r="B16" s="288" t="s">
        <v>720</v>
      </c>
      <c r="C16" s="1829">
        <f>'Model outputs - Aggregate level'!$F46</f>
        <v>0</v>
      </c>
      <c r="D16" s="35"/>
      <c r="E16" s="292" t="s">
        <v>721</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722</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723</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723</v>
      </c>
      <c r="AK18" s="12"/>
    </row>
    <row r="19" spans="2:37" s="9" customFormat="1" ht="20.25" customHeight="1">
      <c r="B19" s="288" t="s">
        <v>702</v>
      </c>
      <c r="C19" s="1829">
        <f>'Model outputs - Aggregate level'!$F49</f>
        <v>0</v>
      </c>
      <c r="D19" s="35"/>
      <c r="E19" s="292" t="s">
        <v>724</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725</v>
      </c>
    </row>
    <row r="20" spans="2:37" s="9" customFormat="1" ht="20.25" customHeight="1">
      <c r="B20" s="288" t="s">
        <v>705</v>
      </c>
      <c r="C20" s="1829">
        <f>'Model outputs - Aggregate level'!$F50</f>
        <v>-1.9602000000000004</v>
      </c>
      <c r="D20" s="35"/>
      <c r="E20" s="292" t="s">
        <v>726</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727</v>
      </c>
    </row>
    <row r="21" spans="2:37" s="9" customFormat="1" ht="20.25" customHeight="1">
      <c r="B21" s="288" t="s">
        <v>708</v>
      </c>
      <c r="C21" s="1829">
        <f>'Model outputs - Aggregate level'!$F51</f>
        <v>0</v>
      </c>
      <c r="D21" s="35"/>
      <c r="E21" s="292" t="s">
        <v>728</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729</v>
      </c>
    </row>
    <row r="22" spans="2:37" s="9" customFormat="1" ht="20.25" customHeight="1">
      <c r="B22" s="288" t="s">
        <v>711</v>
      </c>
      <c r="C22" s="1829">
        <f>'Model outputs - Aggregate level'!$F52</f>
        <v>0</v>
      </c>
      <c r="D22" s="35"/>
      <c r="E22" s="292" t="s">
        <v>730</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731</v>
      </c>
    </row>
    <row r="23" spans="2:37" s="9" customFormat="1" ht="20.25" customHeight="1">
      <c r="B23" s="288" t="s">
        <v>714</v>
      </c>
      <c r="C23" s="1829">
        <f>'Model outputs - Aggregate level'!$F53</f>
        <v>0</v>
      </c>
      <c r="D23" s="35"/>
      <c r="E23" s="292" t="s">
        <v>732</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733</v>
      </c>
    </row>
    <row r="24" spans="2:37" s="9" customFormat="1" ht="20.25" customHeight="1">
      <c r="B24" s="288" t="s">
        <v>717</v>
      </c>
      <c r="C24" s="1829">
        <f>'Model outputs - Aggregate level'!$F54</f>
        <v>0</v>
      </c>
      <c r="D24" s="35"/>
      <c r="E24" s="292" t="s">
        <v>734</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735</v>
      </c>
    </row>
    <row r="25" spans="2:37" s="9" customFormat="1" ht="20.25" customHeight="1">
      <c r="B25" s="288" t="s">
        <v>720</v>
      </c>
      <c r="C25" s="1829">
        <f>'Model outputs - Aggregate level'!$F55</f>
        <v>0</v>
      </c>
      <c r="D25" s="35"/>
      <c r="E25" s="292" t="s">
        <v>736</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737</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738</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738</v>
      </c>
      <c r="AK27" s="12"/>
    </row>
    <row r="28" spans="2:37" s="9" customFormat="1" ht="20.25" customHeight="1">
      <c r="B28" s="288" t="s">
        <v>702</v>
      </c>
      <c r="C28" s="1829">
        <f>'Model outputs - Aggregate level'!$F58</f>
        <v>0</v>
      </c>
      <c r="D28" s="35"/>
      <c r="E28" s="292" t="s">
        <v>739</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740</v>
      </c>
    </row>
    <row r="29" spans="2:37" s="9" customFormat="1" ht="20.25" customHeight="1">
      <c r="B29" s="288" t="s">
        <v>705</v>
      </c>
      <c r="C29" s="1829">
        <f>'Model outputs - Aggregate level'!$F59</f>
        <v>0</v>
      </c>
      <c r="D29" s="35"/>
      <c r="E29" s="292" t="s">
        <v>741</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742</v>
      </c>
    </row>
    <row r="30" spans="2:37" s="9" customFormat="1" ht="20.25" customHeight="1">
      <c r="B30" s="288" t="s">
        <v>708</v>
      </c>
      <c r="C30" s="1829">
        <f>'Model outputs - Aggregate level'!$F60</f>
        <v>0</v>
      </c>
      <c r="D30" s="35"/>
      <c r="E30" s="292" t="s">
        <v>743</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744</v>
      </c>
    </row>
    <row r="31" spans="2:37" s="9" customFormat="1" ht="20.25" customHeight="1">
      <c r="B31" s="288" t="s">
        <v>711</v>
      </c>
      <c r="C31" s="1829">
        <f>'Model outputs - Aggregate level'!$F61</f>
        <v>0</v>
      </c>
      <c r="D31" s="35"/>
      <c r="E31" s="292" t="s">
        <v>745</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746</v>
      </c>
    </row>
    <row r="32" spans="2:37" s="9" customFormat="1" ht="20.25" customHeight="1">
      <c r="B32" s="288" t="s">
        <v>714</v>
      </c>
      <c r="C32" s="1829">
        <f>'Model outputs - Aggregate level'!$F62</f>
        <v>0</v>
      </c>
      <c r="D32" s="35"/>
      <c r="E32" s="292" t="s">
        <v>747</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748</v>
      </c>
    </row>
    <row r="33" spans="2:37" s="9" customFormat="1" ht="20.25" customHeight="1">
      <c r="B33" s="288" t="s">
        <v>717</v>
      </c>
      <c r="C33" s="1829">
        <f>'Model outputs - Aggregate level'!$F63</f>
        <v>0</v>
      </c>
      <c r="D33" s="35"/>
      <c r="E33" s="292" t="s">
        <v>749</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750</v>
      </c>
    </row>
    <row r="34" spans="2:37" s="9" customFormat="1" ht="20.25" customHeight="1">
      <c r="B34" s="288" t="s">
        <v>720</v>
      </c>
      <c r="C34" s="1829">
        <f>'Model outputs - Aggregate level'!$F64</f>
        <v>0</v>
      </c>
      <c r="D34" s="1356"/>
      <c r="E34" s="292" t="s">
        <v>751</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752</v>
      </c>
    </row>
    <row r="35" spans="2:37" s="9" customFormat="1" ht="14.5">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5">
      <c r="B36" s="276" t="s">
        <v>299</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300</v>
      </c>
    </row>
    <row r="39" spans="2:37"/>
    <row r="40" spans="2:37">
      <c r="B40" s="1968" t="s">
        <v>301</v>
      </c>
    </row>
    <row r="41" spans="2:37"/>
    <row r="42" spans="2:37">
      <c r="B42" s="1819" t="s">
        <v>302</v>
      </c>
    </row>
    <row r="43" spans="2:37"/>
    <row r="44" spans="2:37">
      <c r="B44" s="1820" t="s">
        <v>303</v>
      </c>
    </row>
    <row r="45" spans="2:37"/>
    <row r="46" spans="2:37" ht="14.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3" t="s">
        <v>50</v>
      </c>
      <c r="C1" s="6"/>
      <c r="D1" s="2067" t="s">
        <v>116</v>
      </c>
      <c r="F1" s="2181"/>
      <c r="G1" s="2181"/>
      <c r="H1" s="2181"/>
      <c r="Q1" s="1970" t="str">
        <f>'Validation summary'!$B$2</f>
        <v>2023-24</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Northumbrian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5">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645</v>
      </c>
      <c r="D6" s="2135" t="s">
        <v>646</v>
      </c>
      <c r="E6" s="2135" t="s">
        <v>647</v>
      </c>
      <c r="F6" s="283"/>
      <c r="G6" s="283"/>
      <c r="H6" s="283"/>
      <c r="I6" s="282"/>
      <c r="J6" s="282"/>
      <c r="K6" s="282"/>
      <c r="L6" s="282"/>
      <c r="M6" s="283"/>
      <c r="N6" s="2135" t="s">
        <v>137</v>
      </c>
      <c r="O6" s="1356"/>
      <c r="P6" s="2134" t="s">
        <v>138</v>
      </c>
      <c r="Q6" s="2134" t="s">
        <v>139</v>
      </c>
      <c r="R6" s="1356"/>
      <c r="S6" s="1356"/>
      <c r="T6" s="1356"/>
      <c r="U6" s="1356"/>
      <c r="V6" s="1357"/>
      <c r="W6" s="327" t="s">
        <v>753</v>
      </c>
      <c r="X6" s="1356"/>
      <c r="Y6" s="1356"/>
      <c r="Z6" s="1356"/>
      <c r="AA6" s="327"/>
      <c r="AB6" s="1356"/>
      <c r="AC6" s="1356"/>
      <c r="AD6" s="1356"/>
      <c r="AE6" s="1356"/>
      <c r="AF6" s="1356"/>
      <c r="AG6" s="1357"/>
      <c r="AH6" s="327" t="s">
        <v>143</v>
      </c>
      <c r="AI6" s="1356"/>
      <c r="AJ6" s="327" t="s">
        <v>754</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6">
      <c r="B8" s="309" t="s">
        <v>648</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648</v>
      </c>
      <c r="AU8" s="284"/>
      <c r="AV8" s="284"/>
      <c r="AW8" s="284"/>
      <c r="AX8" s="284"/>
      <c r="AY8" s="284"/>
      <c r="AZ8" s="284"/>
      <c r="BA8" s="284"/>
      <c r="BB8" s="284"/>
      <c r="BC8" s="284"/>
      <c r="BD8" s="282"/>
    </row>
    <row r="9" spans="2:56" s="21" customFormat="1" ht="25.5" customHeight="1">
      <c r="B9" s="308" t="s">
        <v>755</v>
      </c>
      <c r="C9" s="2085"/>
      <c r="D9" s="2086"/>
      <c r="E9" s="2087"/>
      <c r="H9" s="26"/>
      <c r="I9" s="26"/>
      <c r="J9" s="26"/>
      <c r="K9" s="26"/>
      <c r="L9" s="26"/>
      <c r="N9" s="292" t="s">
        <v>756</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5">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757</v>
      </c>
      <c r="D12" s="2135" t="s">
        <v>758</v>
      </c>
      <c r="E12" s="2135" t="s">
        <v>759</v>
      </c>
      <c r="F12" s="2135" t="s">
        <v>760</v>
      </c>
      <c r="G12" s="2135" t="s">
        <v>761</v>
      </c>
      <c r="H12" s="2135" t="s">
        <v>762</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5">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763</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764</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764</v>
      </c>
      <c r="AU14" s="284"/>
      <c r="AV14" s="284"/>
      <c r="AW14" s="284"/>
      <c r="AX14" s="284"/>
      <c r="AY14" s="284"/>
      <c r="AZ14" s="284"/>
      <c r="BA14" s="1353"/>
      <c r="BB14" s="1353"/>
      <c r="BC14" s="1353"/>
      <c r="BD14" s="1353"/>
    </row>
    <row r="15" spans="2:56" s="21" customFormat="1" ht="31.5" customHeight="1">
      <c r="B15" s="308" t="s">
        <v>764</v>
      </c>
      <c r="C15" s="2086"/>
      <c r="D15" s="2086"/>
      <c r="E15" s="2086"/>
      <c r="F15" s="2086"/>
      <c r="G15" s="2086"/>
      <c r="H15" s="2086"/>
      <c r="I15" s="26"/>
      <c r="J15" s="26"/>
      <c r="K15" s="26"/>
      <c r="L15" s="26"/>
      <c r="N15" s="292" t="s">
        <v>765</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5">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30" customHeight="1">
      <c r="B19" s="2159"/>
      <c r="C19" s="2159"/>
      <c r="D19" s="2159"/>
      <c r="E19" s="2159"/>
      <c r="F19" s="2159"/>
      <c r="G19" s="2159"/>
      <c r="H19" s="2159"/>
      <c r="I19" s="2159"/>
      <c r="J19" s="2135" t="s">
        <v>774</v>
      </c>
      <c r="K19" s="2135" t="s">
        <v>775</v>
      </c>
      <c r="L19" s="2135" t="s">
        <v>776</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69"/>
      <c r="AU19" s="2169"/>
      <c r="AV19" s="2169"/>
      <c r="AW19" s="2169"/>
      <c r="AX19" s="2169"/>
      <c r="AY19" s="2169"/>
      <c r="AZ19" s="2169"/>
      <c r="BA19" s="2169"/>
      <c r="BB19" s="2136" t="str">
        <f t="shared" ref="BB19:BD19" si="3">J19</f>
        <v>Low</v>
      </c>
      <c r="BC19" s="2136" t="str">
        <f t="shared" si="3"/>
        <v>Medium</v>
      </c>
      <c r="BD19" s="2136" t="str">
        <f t="shared" si="3"/>
        <v>High</v>
      </c>
    </row>
    <row r="20" spans="2:56" s="9" customFormat="1" ht="34.5" customHeight="1">
      <c r="B20" s="2159"/>
      <c r="C20" s="2159"/>
      <c r="D20" s="2159"/>
      <c r="E20" s="2159"/>
      <c r="F20" s="2159"/>
      <c r="G20" s="2159"/>
      <c r="H20" s="2159"/>
      <c r="I20" s="2159"/>
      <c r="J20" s="2159" t="s">
        <v>777</v>
      </c>
      <c r="K20" s="2159"/>
      <c r="L20" s="2159"/>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63"/>
      <c r="AU20" s="2163"/>
      <c r="AV20" s="2163"/>
      <c r="AW20" s="2163"/>
      <c r="AX20" s="2163"/>
      <c r="AY20" s="2163"/>
      <c r="AZ20" s="2163"/>
      <c r="BA20" s="2163"/>
      <c r="BB20" s="2170" t="str">
        <f>J20</f>
        <v>Percentage of total population served</v>
      </c>
      <c r="BC20" s="2171"/>
      <c r="BD20" s="2172"/>
    </row>
    <row r="21" spans="2:56" s="9" customFormat="1" ht="15.5">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778</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778</v>
      </c>
      <c r="AU22" s="284"/>
      <c r="AV22" s="284"/>
      <c r="AW22" s="284"/>
      <c r="AX22" s="284"/>
      <c r="AY22" s="284"/>
      <c r="AZ22" s="284"/>
      <c r="BA22" s="284"/>
      <c r="BB22" s="284"/>
      <c r="BC22" s="284"/>
      <c r="BD22" s="284"/>
    </row>
    <row r="23" spans="2:56" s="21" customFormat="1" ht="33" customHeight="1">
      <c r="B23" s="308" t="s">
        <v>778</v>
      </c>
      <c r="C23" s="2088"/>
      <c r="D23" s="2088"/>
      <c r="E23" s="2087"/>
      <c r="F23" s="2088"/>
      <c r="G23" s="2087"/>
      <c r="H23" s="2088"/>
      <c r="I23" s="2087"/>
      <c r="J23" s="2089"/>
      <c r="K23" s="2089"/>
      <c r="L23" s="2089"/>
      <c r="N23" s="292" t="s">
        <v>779</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780</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693</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693</v>
      </c>
      <c r="AU28" s="23"/>
      <c r="AV28" s="32"/>
      <c r="AW28" s="32"/>
      <c r="AX28" s="32"/>
      <c r="AY28" s="32"/>
      <c r="AZ28" s="32"/>
      <c r="BA28" s="1353"/>
      <c r="BB28" s="1353"/>
      <c r="BC28" s="1353"/>
      <c r="BD28" s="1353"/>
    </row>
    <row r="29" spans="2:56" s="21" customFormat="1" ht="24.75" customHeight="1">
      <c r="B29" s="308" t="s">
        <v>693</v>
      </c>
      <c r="C29" s="2088"/>
      <c r="D29" s="33"/>
      <c r="E29" s="33"/>
      <c r="F29" s="33"/>
      <c r="G29" s="33"/>
      <c r="H29" s="33"/>
      <c r="I29" s="26"/>
      <c r="J29" s="1353"/>
      <c r="K29" s="1353"/>
      <c r="L29" s="1353"/>
      <c r="N29" s="292" t="s">
        <v>781</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149999999999999"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5">
      <c r="B31" s="276" t="s">
        <v>299</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73" t="s">
        <v>300</v>
      </c>
      <c r="C33" s="2174"/>
    </row>
    <row r="34" spans="2:3"/>
    <row r="35" spans="2:3">
      <c r="B35" s="2175" t="s">
        <v>301</v>
      </c>
      <c r="C35" s="2176"/>
    </row>
    <row r="36" spans="2:3"/>
    <row r="37" spans="2:3">
      <c r="B37" s="2177" t="s">
        <v>302</v>
      </c>
      <c r="C37" s="2178"/>
    </row>
    <row r="38" spans="2:3"/>
    <row r="39" spans="2:3">
      <c r="B39" s="2179" t="s">
        <v>303</v>
      </c>
      <c r="C39" s="2180"/>
    </row>
    <row r="40" spans="2:3"/>
    <row r="41" spans="2:3" ht="14.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
      <c r="A3" s="399" t="s">
        <v>782</v>
      </c>
      <c r="B3" s="400" t="s">
        <v>783</v>
      </c>
      <c r="C3" s="167"/>
      <c r="D3" s="167"/>
      <c r="E3" s="167"/>
      <c r="F3" s="167"/>
    </row>
    <row r="4" spans="1:6" s="168" customFormat="1" ht="22">
      <c r="A4" s="399" t="s">
        <v>784</v>
      </c>
      <c r="B4" s="2079">
        <v>1.1100000000000001</v>
      </c>
      <c r="C4" s="167"/>
      <c r="D4" s="167"/>
      <c r="E4" s="167"/>
      <c r="F4" s="167"/>
    </row>
    <row r="5" spans="1:6" s="168" customFormat="1" ht="22">
      <c r="A5" s="399" t="s">
        <v>785</v>
      </c>
      <c r="B5" s="400" t="str">
        <f>B3</f>
        <v>For Business Plan use_PR19IPD01_ ODI-performance-model-v1.11.xlsx</v>
      </c>
      <c r="C5" s="167"/>
      <c r="D5" s="167"/>
      <c r="E5" s="167"/>
      <c r="F5" s="167"/>
    </row>
    <row r="6" spans="1:6" s="168" customFormat="1" ht="22">
      <c r="A6" s="399" t="s">
        <v>786</v>
      </c>
      <c r="B6" s="1979">
        <v>45149</v>
      </c>
      <c r="C6" s="167"/>
      <c r="D6" s="167"/>
      <c r="E6" s="167"/>
      <c r="F6" s="167"/>
    </row>
    <row r="7" spans="1:6" s="168" customFormat="1" ht="22">
      <c r="A7" s="399" t="s">
        <v>787</v>
      </c>
      <c r="B7" s="399" t="s">
        <v>788</v>
      </c>
      <c r="C7" s="167"/>
      <c r="D7" s="167"/>
      <c r="E7" s="167"/>
      <c r="F7" s="167"/>
    </row>
    <row r="8" spans="1:6" s="168" customFormat="1" ht="22">
      <c r="A8" s="399" t="s">
        <v>789</v>
      </c>
      <c r="B8" s="1858" t="s">
        <v>790</v>
      </c>
      <c r="C8" s="167"/>
      <c r="D8" s="167"/>
      <c r="E8" s="167"/>
      <c r="F8" s="167"/>
    </row>
    <row r="9" spans="1:6" s="168" customFormat="1" ht="3.75" customHeight="1">
      <c r="A9" s="167"/>
      <c r="B9" s="167"/>
      <c r="C9" s="167"/>
      <c r="D9" s="167"/>
      <c r="E9" s="167"/>
      <c r="F9" s="167"/>
    </row>
    <row r="10" spans="1:6"/>
    <row r="11" spans="1:6" ht="175.5" customHeight="1">
      <c r="A11" s="414" t="s">
        <v>791</v>
      </c>
      <c r="B11" s="2182" t="s">
        <v>792</v>
      </c>
      <c r="C11" s="2182"/>
      <c r="D11" s="2182"/>
    </row>
    <row r="12" spans="1:6" ht="29.25" customHeight="1">
      <c r="A12" s="414" t="s">
        <v>793</v>
      </c>
      <c r="B12" s="1978"/>
      <c r="C12" s="1980"/>
      <c r="D12" s="1980"/>
    </row>
    <row r="13" spans="1:6" ht="188.25" customHeight="1">
      <c r="A13" s="414" t="s">
        <v>794</v>
      </c>
      <c r="B13" s="2183" t="s">
        <v>795</v>
      </c>
      <c r="C13" s="2183"/>
      <c r="D13" s="2183"/>
    </row>
    <row r="14" spans="1:6" ht="129" customHeight="1">
      <c r="A14" s="414"/>
      <c r="B14" s="2183" t="s">
        <v>796</v>
      </c>
      <c r="C14" s="2183"/>
      <c r="D14" s="2183"/>
    </row>
    <row r="15" spans="1:6" ht="188.25" customHeight="1">
      <c r="A15" s="414"/>
      <c r="B15" s="2185" t="s">
        <v>797</v>
      </c>
      <c r="C15" s="2185"/>
      <c r="D15" s="2185"/>
    </row>
    <row r="16" spans="1:6" ht="60" customHeight="1">
      <c r="A16" s="414"/>
      <c r="B16" s="2183" t="s">
        <v>798</v>
      </c>
      <c r="C16" s="2183"/>
      <c r="D16" s="2183"/>
    </row>
    <row r="17" spans="1:1021 1025:2045 2049:3069 3073:4093 4097:5117 5121:6141 6145:7165 7169:8189 8193:9213 9217:10237 10241:11261 11265:12285 12289:13309 13313:14333 14337:15357 15361:16381" s="171" customFormat="1" ht="22">
      <c r="A17" s="403"/>
      <c r="B17" s="1367"/>
      <c r="C17" s="1367"/>
      <c r="D17" s="1367"/>
    </row>
    <row r="18" spans="1:1021 1025:2045 2049:3069 3073:4093 4097:5117 5121:6141 6145:7165 7169:8189 8193:9213 9217:10237 10241:11261 11265:12285 12289:13309 13313:14333 14337:15357 15361:16381" s="171" customFormat="1" ht="30"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31" t="s">
        <v>801</v>
      </c>
      <c r="B20" s="1532" t="s">
        <v>802</v>
      </c>
      <c r="C20" s="1532"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4">
      <c r="A22" s="413" t="s">
        <v>807</v>
      </c>
      <c r="B22" s="413" t="s">
        <v>808</v>
      </c>
      <c r="C22" s="413" t="s">
        <v>809</v>
      </c>
      <c r="D22" s="169"/>
    </row>
    <row r="23" spans="1:1021 1025:2045 2049:3069 3073:4093 4097:5117 5121:6141 6145:7165 7169:8189 8193:9213 9217:10237 10241:11261 11265:12285 12289:13309 13313:14333 14337:15357 15361:16381" s="171" customFormat="1" ht="39">
      <c r="A23" s="413" t="s">
        <v>810</v>
      </c>
      <c r="B23" s="413" t="s">
        <v>811</v>
      </c>
      <c r="C23" s="413" t="s">
        <v>812</v>
      </c>
      <c r="D23" s="169"/>
    </row>
    <row r="24" spans="1:1021 1025:2045 2049:3069 3073:4093 4097:5117 5121:6141 6145:7165 7169:8189 8193:9213 9217:10237 10241:11261 11265:12285 12289:13309 13313:14333 14337:15357 15361:16381" s="171" customFormat="1" ht="26">
      <c r="A24" s="413" t="s">
        <v>807</v>
      </c>
      <c r="B24" s="413" t="s">
        <v>813</v>
      </c>
      <c r="C24" s="413" t="s">
        <v>814</v>
      </c>
      <c r="D24" s="169"/>
    </row>
    <row r="25" spans="1:1021 1025:2045 2049:3069 3073:4093 4097:5117 5121:6141 6145:7165 7169:8189 8193:9213 9217:10237 10241:11261 11265:12285 12289:13309 13313:14333 14337:15357 15361:16381" s="171" customFormat="1" ht="44.25"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6">
      <c r="A26" s="413" t="s">
        <v>810</v>
      </c>
      <c r="B26" s="413" t="s">
        <v>816</v>
      </c>
      <c r="C26" s="413" t="s">
        <v>817</v>
      </c>
      <c r="D26" s="169"/>
    </row>
    <row r="27" spans="1:1021 1025:2045 2049:3069 3073:4093 4097:5117 5121:6141 6145:7165 7169:8189 8193:9213 9217:10237 10241:11261 11265:12285 12289:13309 13313:14333 14337:15357 15361:16381" s="171" customFormat="1" ht="91">
      <c r="A27" s="413" t="s">
        <v>807</v>
      </c>
      <c r="B27" s="413" t="s">
        <v>818</v>
      </c>
      <c r="C27" s="413" t="s">
        <v>817</v>
      </c>
      <c r="D27" s="169"/>
    </row>
    <row r="28" spans="1:1021 1025:2045 2049:3069 3073:4093 4097:5117 5121:6141 6145:7165 7169:8189 8193:9213 9217:10237 10241:11261 11265:12285 12289:13309 13313:14333 14337:15357 15361:16381" s="171" customFormat="1" ht="14">
      <c r="A28" s="413" t="s">
        <v>810</v>
      </c>
      <c r="B28" s="413" t="s">
        <v>819</v>
      </c>
      <c r="C28" s="413" t="s">
        <v>812</v>
      </c>
      <c r="D28" s="169"/>
    </row>
    <row r="29" spans="1:1021 1025:2045 2049:3069 3073:4093 4097:5117 5121:6141 6145:7165 7169:8189 8193:9213 9217:10237 10241:11261 11265:12285 12289:13309 13313:14333 14337:15357 15361:16381" s="171" customFormat="1" ht="26">
      <c r="A29" s="413" t="s">
        <v>810</v>
      </c>
      <c r="B29" s="413" t="s">
        <v>820</v>
      </c>
      <c r="C29" s="413" t="s">
        <v>817</v>
      </c>
      <c r="D29" s="169"/>
    </row>
    <row r="30" spans="1:1021 1025:2045 2049:3069 3073:4093 4097:5117 5121:6141 6145:7165 7169:8189 8193:9213 9217:10237 10241:11261 11265:12285 12289:13309 13313:14333 14337:15357 15361:16381" s="171" customFormat="1" ht="39">
      <c r="A30" s="413" t="s">
        <v>807</v>
      </c>
      <c r="B30" s="413" t="s">
        <v>821</v>
      </c>
      <c r="C30" s="413" t="s">
        <v>822</v>
      </c>
      <c r="D30" s="169"/>
    </row>
    <row r="31" spans="1:1021 1025:2045 2049:3069 3073:4093 4097:5117 5121:6141 6145:7165 7169:8189 8193:9213 9217:10237 10241:11261 11265:12285 12289:13309 13313:14333 14337:15357 15361:16381" s="171" customFormat="1" ht="26">
      <c r="A31" s="412" t="s">
        <v>807</v>
      </c>
      <c r="B31" s="412" t="s">
        <v>823</v>
      </c>
      <c r="C31" s="412" t="s">
        <v>824</v>
      </c>
      <c r="D31" s="169"/>
    </row>
    <row r="32" spans="1:1021 1025:2045 2049:3069 3073:4093 4097:5117 5121:6141 6145:7165 7169:8189 8193:9213 9217:10237 10241:11261 11265:12285 12289:13309 13313:14333 14337:15357 15361:16381" s="171" customFormat="1" ht="14">
      <c r="A32" s="409" t="s">
        <v>825</v>
      </c>
      <c r="B32" s="409" t="s">
        <v>826</v>
      </c>
      <c r="C32" s="409" t="s">
        <v>824</v>
      </c>
      <c r="D32" s="169"/>
    </row>
    <row r="33" spans="1:16384" s="171" customFormat="1" ht="87.75" customHeight="1">
      <c r="A33" s="409" t="s">
        <v>810</v>
      </c>
      <c r="B33" s="409" t="s">
        <v>827</v>
      </c>
      <c r="C33" s="409" t="s">
        <v>812</v>
      </c>
      <c r="D33" s="169"/>
    </row>
    <row r="34" spans="1:16384" s="171" customFormat="1" ht="14">
      <c r="A34" s="409" t="s">
        <v>825</v>
      </c>
      <c r="B34" s="409" t="s">
        <v>828</v>
      </c>
      <c r="C34" s="409" t="s">
        <v>829</v>
      </c>
      <c r="D34" s="169"/>
    </row>
    <row r="35" spans="1:16384" s="171" customFormat="1" ht="39">
      <c r="A35" s="409" t="s">
        <v>810</v>
      </c>
      <c r="B35" s="409" t="s">
        <v>830</v>
      </c>
      <c r="C35" s="409" t="s">
        <v>831</v>
      </c>
      <c r="D35" s="169"/>
    </row>
    <row r="36" spans="1:16384" s="171" customFormat="1" ht="41.25" customHeight="1">
      <c r="A36" s="409" t="s">
        <v>810</v>
      </c>
      <c r="B36" s="409" t="s">
        <v>832</v>
      </c>
      <c r="C36" s="409" t="s">
        <v>831</v>
      </c>
      <c r="D36" s="169"/>
    </row>
    <row r="37" spans="1:16384" s="171" customFormat="1" ht="14">
      <c r="A37" s="410" t="s">
        <v>807</v>
      </c>
      <c r="B37" s="410" t="s">
        <v>833</v>
      </c>
      <c r="C37" s="410" t="s">
        <v>834</v>
      </c>
      <c r="D37" s="169"/>
    </row>
    <row r="38" spans="1:16384" s="171" customFormat="1" ht="39">
      <c r="A38" s="410" t="s">
        <v>825</v>
      </c>
      <c r="B38" s="410" t="s">
        <v>835</v>
      </c>
      <c r="C38" s="410" t="s">
        <v>822</v>
      </c>
      <c r="D38" s="169"/>
    </row>
    <row r="39" spans="1:16384" s="171" customFormat="1" ht="14">
      <c r="A39" s="1333" t="s">
        <v>807</v>
      </c>
      <c r="B39" s="1333" t="s">
        <v>836</v>
      </c>
      <c r="C39" s="1333" t="s">
        <v>824</v>
      </c>
      <c r="D39" s="169"/>
    </row>
    <row r="40" spans="1:16384" s="171" customFormat="1" ht="14">
      <c r="A40" s="1333" t="s">
        <v>810</v>
      </c>
      <c r="B40" s="1333" t="s">
        <v>837</v>
      </c>
      <c r="C40" s="1333" t="s">
        <v>824</v>
      </c>
      <c r="D40" s="169"/>
    </row>
    <row r="41" spans="1:16384" s="171" customFormat="1" ht="14">
      <c r="A41" s="1333" t="s">
        <v>825</v>
      </c>
      <c r="B41" s="1333" t="s">
        <v>838</v>
      </c>
      <c r="C41" s="1333" t="s">
        <v>824</v>
      </c>
      <c r="D41" s="169"/>
    </row>
    <row r="42" spans="1:16384" s="171" customFormat="1" ht="78">
      <c r="A42" s="1333" t="s">
        <v>807</v>
      </c>
      <c r="B42" s="1333" t="s">
        <v>839</v>
      </c>
      <c r="C42" s="1333" t="s">
        <v>812</v>
      </c>
      <c r="D42" s="169"/>
    </row>
    <row r="43" spans="1:16384" s="171" customFormat="1" ht="14">
      <c r="A43" s="1333" t="s">
        <v>825</v>
      </c>
      <c r="B43" s="1333" t="s">
        <v>840</v>
      </c>
      <c r="C43" s="1333" t="s">
        <v>841</v>
      </c>
      <c r="D43" s="169"/>
    </row>
    <row r="44" spans="1:16384" s="171" customFormat="1" ht="52">
      <c r="A44" s="1333" t="s">
        <v>807</v>
      </c>
      <c r="B44" s="1333" t="s">
        <v>842</v>
      </c>
      <c r="C44" s="1333" t="s">
        <v>843</v>
      </c>
      <c r="D44" s="169"/>
    </row>
    <row r="45" spans="1:16384" s="171" customFormat="1" ht="26">
      <c r="A45" s="1333" t="s">
        <v>807</v>
      </c>
      <c r="B45" s="1333" t="s">
        <v>844</v>
      </c>
      <c r="C45" s="1502" t="s">
        <v>845</v>
      </c>
      <c r="D45" s="169"/>
    </row>
    <row r="46" spans="1:16384" s="171" customFormat="1" ht="26">
      <c r="A46" s="1333" t="s">
        <v>825</v>
      </c>
      <c r="B46" s="1333" t="s">
        <v>846</v>
      </c>
      <c r="C46" s="1503" t="s">
        <v>847</v>
      </c>
      <c r="D46" s="169"/>
    </row>
    <row r="47" spans="1:16384" s="1787" customFormat="1" ht="26">
      <c r="A47" s="1333" t="s">
        <v>810</v>
      </c>
      <c r="B47" s="1333" t="s">
        <v>848</v>
      </c>
      <c r="C47" s="1503"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810</v>
      </c>
      <c r="B48" s="1333" t="s">
        <v>850</v>
      </c>
      <c r="C48" s="1502" t="s">
        <v>849</v>
      </c>
      <c r="D48" s="169"/>
    </row>
    <row r="49" spans="1:4" s="171" customFormat="1" ht="57.75" customHeight="1">
      <c r="A49" s="1973" t="s">
        <v>807</v>
      </c>
      <c r="B49" s="1973" t="s">
        <v>851</v>
      </c>
      <c r="C49" s="1973" t="s">
        <v>852</v>
      </c>
      <c r="D49" s="169"/>
    </row>
    <row r="50" spans="1:4" s="171" customFormat="1" ht="169.5" customHeight="1">
      <c r="A50" s="1973" t="s">
        <v>810</v>
      </c>
      <c r="B50" s="1973" t="s">
        <v>853</v>
      </c>
      <c r="C50" s="1973" t="s">
        <v>812</v>
      </c>
      <c r="D50" s="169"/>
    </row>
    <row r="51" spans="1:4" s="171" customFormat="1" ht="39">
      <c r="A51" s="1973" t="s">
        <v>825</v>
      </c>
      <c r="B51" s="1973" t="s">
        <v>854</v>
      </c>
      <c r="C51" s="1973" t="s">
        <v>812</v>
      </c>
      <c r="D51" s="169"/>
    </row>
    <row r="52" spans="1:4" s="171" customFormat="1" ht="65">
      <c r="A52" s="1973" t="s">
        <v>810</v>
      </c>
      <c r="B52" s="1973" t="s">
        <v>855</v>
      </c>
      <c r="C52" s="1973" t="s">
        <v>831</v>
      </c>
      <c r="D52" s="169"/>
    </row>
    <row r="53" spans="1:4" s="171" customFormat="1" ht="82.5" customHeight="1">
      <c r="A53" s="1973" t="s">
        <v>807</v>
      </c>
      <c r="B53" s="1973" t="s">
        <v>856</v>
      </c>
      <c r="C53" s="1973" t="s">
        <v>831</v>
      </c>
      <c r="D53" s="169"/>
    </row>
    <row r="54" spans="1:4" s="171" customFormat="1" ht="69.400000000000006" customHeight="1">
      <c r="A54" s="1973" t="s">
        <v>810</v>
      </c>
      <c r="B54" s="1973" t="s">
        <v>857</v>
      </c>
      <c r="C54" s="1973" t="s">
        <v>858</v>
      </c>
      <c r="D54" s="169"/>
    </row>
    <row r="55" spans="1:4" s="171" customFormat="1" ht="26">
      <c r="A55" s="1973" t="s">
        <v>825</v>
      </c>
      <c r="B55" s="1973" t="s">
        <v>859</v>
      </c>
      <c r="C55" s="1973" t="s">
        <v>860</v>
      </c>
      <c r="D55" s="169"/>
    </row>
    <row r="56" spans="1:4" s="171" customFormat="1" ht="26">
      <c r="A56" s="1973" t="s">
        <v>825</v>
      </c>
      <c r="B56" s="1973" t="s">
        <v>861</v>
      </c>
      <c r="C56" s="1973" t="s">
        <v>860</v>
      </c>
      <c r="D56" s="169"/>
    </row>
    <row r="57" spans="1:4" s="171" customFormat="1" ht="39">
      <c r="A57" s="1973" t="s">
        <v>807</v>
      </c>
      <c r="B57" s="1973" t="s">
        <v>862</v>
      </c>
      <c r="C57" s="1973" t="s">
        <v>860</v>
      </c>
      <c r="D57" s="169"/>
    </row>
    <row r="58" spans="1:4" s="171" customFormat="1" ht="26">
      <c r="A58" s="1973" t="s">
        <v>810</v>
      </c>
      <c r="B58" s="1973" t="s">
        <v>863</v>
      </c>
      <c r="C58" s="1973" t="s">
        <v>864</v>
      </c>
      <c r="D58" s="169"/>
    </row>
    <row r="59" spans="1:4" s="171" customFormat="1" ht="40.9" customHeight="1">
      <c r="A59" s="2118" t="s">
        <v>810</v>
      </c>
      <c r="B59" s="2118" t="s">
        <v>865</v>
      </c>
      <c r="C59" s="2118" t="s">
        <v>824</v>
      </c>
      <c r="D59" s="169"/>
    </row>
    <row r="60" spans="1:4" s="171" customFormat="1" ht="117">
      <c r="A60" s="2118" t="s">
        <v>810</v>
      </c>
      <c r="B60" s="2118" t="s">
        <v>866</v>
      </c>
      <c r="C60" s="2118" t="s">
        <v>812</v>
      </c>
      <c r="D60" s="169"/>
    </row>
    <row r="61" spans="1:4" s="171" customFormat="1" ht="14">
      <c r="A61" s="2118" t="s">
        <v>825</v>
      </c>
      <c r="B61" s="2118" t="s">
        <v>867</v>
      </c>
      <c r="C61" s="2118" t="s">
        <v>812</v>
      </c>
      <c r="D61" s="169"/>
    </row>
    <row r="62" spans="1:4" s="171" customFormat="1" ht="78">
      <c r="A62" s="2118" t="s">
        <v>807</v>
      </c>
      <c r="B62" s="2118" t="s">
        <v>868</v>
      </c>
      <c r="C62" s="2118" t="s">
        <v>831</v>
      </c>
      <c r="D62" s="169"/>
    </row>
    <row r="63" spans="1:4" s="171" customFormat="1" ht="52">
      <c r="A63" s="2118" t="s">
        <v>825</v>
      </c>
      <c r="B63" s="2118" t="s">
        <v>869</v>
      </c>
      <c r="C63" s="2118" t="s">
        <v>847</v>
      </c>
      <c r="D63" s="169"/>
    </row>
    <row r="64" spans="1:4" s="171" customFormat="1" ht="26">
      <c r="A64" s="2118" t="s">
        <v>807</v>
      </c>
      <c r="B64" s="2118" t="s">
        <v>870</v>
      </c>
      <c r="C64" s="2118" t="s">
        <v>847</v>
      </c>
      <c r="D64" s="169"/>
    </row>
    <row r="65" spans="1:6" s="171" customFormat="1" ht="14">
      <c r="A65" s="2118"/>
      <c r="B65" s="2118"/>
      <c r="C65" s="2118"/>
      <c r="D65" s="169"/>
    </row>
    <row r="66" spans="1:6" s="171" customFormat="1" ht="14">
      <c r="A66" s="2118"/>
      <c r="B66" s="2118"/>
      <c r="C66" s="2118"/>
      <c r="D66" s="169"/>
    </row>
    <row r="67" spans="1:6" s="171" customFormat="1" ht="14">
      <c r="A67" s="2118"/>
      <c r="B67" s="2118"/>
      <c r="C67" s="2118"/>
      <c r="D67" s="169"/>
    </row>
    <row r="68" spans="1:6" s="171" customFormat="1" ht="14">
      <c r="A68" s="2119"/>
      <c r="B68" s="2119"/>
      <c r="C68" s="2119"/>
      <c r="D68" s="169"/>
    </row>
    <row r="69" spans="1:6">
      <c r="A69" s="170"/>
      <c r="B69" s="170"/>
    </row>
    <row r="70" spans="1:6" ht="45" customHeight="1">
      <c r="A70" s="401" t="s">
        <v>871</v>
      </c>
      <c r="B70" s="2184" t="s">
        <v>872</v>
      </c>
      <c r="C70" s="2184"/>
    </row>
    <row r="71" spans="1:6" ht="20.5">
      <c r="A71" s="402"/>
      <c r="B71" s="170"/>
    </row>
    <row r="72" spans="1:6" ht="22">
      <c r="A72" s="401" t="s">
        <v>873</v>
      </c>
      <c r="B72" s="405" t="s">
        <v>874</v>
      </c>
      <c r="C72" s="171"/>
    </row>
    <row r="73" spans="1:6">
      <c r="A73" s="170"/>
      <c r="B73" s="170"/>
    </row>
    <row r="74" spans="1:6"/>
    <row r="75" spans="1:6" s="166" customFormat="1" ht="20.5">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876</v>
      </c>
      <c r="I3" s="175"/>
      <c r="K3" s="175"/>
    </row>
    <row r="4" spans="1:11" s="169" customFormat="1"/>
    <row r="5" spans="1:11" s="169" customFormat="1" ht="20.5">
      <c r="B5" s="428" t="s">
        <v>877</v>
      </c>
    </row>
    <row r="6" spans="1:11" s="169" customFormat="1" ht="13">
      <c r="E6" s="415" t="s">
        <v>878</v>
      </c>
      <c r="F6" s="406"/>
      <c r="G6" s="406" t="s">
        <v>879</v>
      </c>
    </row>
    <row r="7" spans="1:11" s="169" customFormat="1" ht="13">
      <c r="E7" s="406"/>
      <c r="F7" s="406"/>
      <c r="G7" s="406"/>
    </row>
    <row r="8" spans="1:11" s="169" customFormat="1" ht="13">
      <c r="E8" s="416" t="s">
        <v>880</v>
      </c>
      <c r="F8" s="406"/>
      <c r="G8" s="406" t="s">
        <v>881</v>
      </c>
    </row>
    <row r="9" spans="1:11" s="169" customFormat="1" ht="13">
      <c r="E9" s="406"/>
      <c r="F9" s="406"/>
      <c r="G9" s="406"/>
    </row>
    <row r="10" spans="1:11" s="169" customFormat="1" ht="13">
      <c r="E10" s="417" t="s">
        <v>882</v>
      </c>
      <c r="F10" s="406"/>
      <c r="G10" s="406" t="s">
        <v>883</v>
      </c>
    </row>
    <row r="11" spans="1:11" s="169" customFormat="1" ht="13">
      <c r="E11" s="406"/>
      <c r="F11" s="406"/>
      <c r="G11" s="406"/>
    </row>
    <row r="12" spans="1:11" s="169" customFormat="1" ht="13">
      <c r="E12" s="406" t="s">
        <v>884</v>
      </c>
      <c r="F12" s="406"/>
      <c r="G12" s="406"/>
    </row>
    <row r="13" spans="1:11" s="169" customFormat="1" ht="13">
      <c r="E13" s="406" t="s">
        <v>885</v>
      </c>
      <c r="F13" s="406"/>
      <c r="G13" s="406"/>
    </row>
    <row r="14" spans="1:11" s="169" customFormat="1" ht="13">
      <c r="E14" s="406"/>
      <c r="F14" s="406"/>
      <c r="G14" s="406"/>
    </row>
    <row r="15" spans="1:11" s="169" customFormat="1" ht="13">
      <c r="E15" s="418" t="s">
        <v>886</v>
      </c>
      <c r="F15" s="406"/>
      <c r="G15" s="406" t="s">
        <v>887</v>
      </c>
    </row>
    <row r="16" spans="1:11" s="169" customFormat="1" ht="13">
      <c r="E16" s="406"/>
      <c r="F16" s="406"/>
      <c r="G16" s="406"/>
    </row>
    <row r="17" spans="1:7" s="169" customFormat="1" ht="20.5">
      <c r="B17" s="428" t="s">
        <v>888</v>
      </c>
      <c r="E17" s="406"/>
      <c r="F17" s="406"/>
      <c r="G17" s="406"/>
    </row>
    <row r="18" spans="1:7" s="169" customFormat="1" ht="13">
      <c r="E18" s="419" t="s">
        <v>889</v>
      </c>
      <c r="F18" s="406"/>
      <c r="G18" s="406" t="s">
        <v>890</v>
      </c>
    </row>
    <row r="19" spans="1:7" s="169" customFormat="1" ht="13">
      <c r="E19" s="406"/>
      <c r="F19" s="406"/>
      <c r="G19" s="406"/>
    </row>
    <row r="20" spans="1:7" s="169" customFormat="1" ht="13">
      <c r="E20" s="420" t="s">
        <v>891</v>
      </c>
      <c r="F20" s="406"/>
      <c r="G20" s="406" t="s">
        <v>892</v>
      </c>
    </row>
    <row r="21" spans="1:7" s="169" customFormat="1" ht="13">
      <c r="E21" s="406"/>
      <c r="F21" s="406"/>
      <c r="G21" s="406"/>
    </row>
    <row r="22" spans="1:7" s="169" customFormat="1" ht="20.5">
      <c r="B22" s="428" t="s">
        <v>893</v>
      </c>
      <c r="E22" s="406"/>
      <c r="F22" s="406"/>
      <c r="G22" s="406"/>
    </row>
    <row r="23" spans="1:7" s="169" customFormat="1" ht="13">
      <c r="E23" s="421" t="s">
        <v>894</v>
      </c>
      <c r="F23" s="406"/>
      <c r="G23" s="406" t="s">
        <v>895</v>
      </c>
    </row>
    <row r="24" spans="1:7" s="169" customFormat="1" ht="13">
      <c r="E24" s="406"/>
      <c r="F24" s="406"/>
      <c r="G24" s="406"/>
    </row>
    <row r="25" spans="1:7" s="169" customFormat="1" ht="13">
      <c r="E25" s="422" t="s">
        <v>896</v>
      </c>
      <c r="F25" s="406"/>
      <c r="G25" s="406" t="s">
        <v>897</v>
      </c>
    </row>
    <row r="26" spans="1:7" s="169" customFormat="1" ht="13">
      <c r="E26" s="406"/>
      <c r="F26" s="406"/>
      <c r="G26" s="406"/>
    </row>
    <row r="27" spans="1:7" s="169" customFormat="1" ht="13">
      <c r="E27" s="406"/>
      <c r="F27" s="406"/>
      <c r="G27" s="406"/>
    </row>
    <row r="28" spans="1:7" s="169" customFormat="1" ht="22">
      <c r="A28" s="427" t="s">
        <v>898</v>
      </c>
      <c r="E28" s="406"/>
      <c r="F28" s="406"/>
      <c r="G28" s="406"/>
    </row>
    <row r="29" spans="1:7" s="169" customFormat="1" ht="13">
      <c r="E29" s="406"/>
      <c r="F29" s="406"/>
      <c r="G29" s="406"/>
    </row>
    <row r="30" spans="1:7" s="169" customFormat="1" ht="13">
      <c r="E30" s="423"/>
      <c r="F30" s="406"/>
      <c r="G30" s="406" t="s">
        <v>899</v>
      </c>
    </row>
    <row r="31" spans="1:7" s="169" customFormat="1" ht="13">
      <c r="E31" s="406"/>
      <c r="F31" s="406"/>
      <c r="G31" s="406"/>
    </row>
    <row r="32" spans="1:7" s="169" customFormat="1" ht="13">
      <c r="E32" s="424"/>
      <c r="F32" s="406"/>
      <c r="G32" s="406" t="s">
        <v>900</v>
      </c>
    </row>
    <row r="33" spans="1:11" s="169" customFormat="1" ht="13">
      <c r="E33" s="406"/>
      <c r="F33" s="406"/>
      <c r="G33" s="406"/>
    </row>
    <row r="34" spans="1:11" s="169" customFormat="1" ht="13">
      <c r="E34" s="425"/>
      <c r="F34" s="406"/>
      <c r="G34" s="406" t="s">
        <v>901</v>
      </c>
    </row>
    <row r="35" spans="1:11" s="169" customFormat="1" ht="13">
      <c r="E35" s="406"/>
      <c r="F35" s="406"/>
      <c r="G35" s="406"/>
    </row>
    <row r="36" spans="1:11" s="169" customFormat="1" ht="13">
      <c r="E36" s="426"/>
      <c r="F36" s="406"/>
      <c r="G36" s="406" t="s">
        <v>902</v>
      </c>
    </row>
    <row r="37" spans="1:11" s="169" customFormat="1"/>
    <row r="38" spans="1:11" s="169" customFormat="1"/>
    <row r="39" spans="1:11" ht="20.5">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903</v>
      </c>
      <c r="C3" s="431"/>
      <c r="D3" s="431" t="s">
        <v>904</v>
      </c>
      <c r="E3" s="431"/>
      <c r="F3" s="431" t="s">
        <v>905</v>
      </c>
      <c r="G3" s="431"/>
      <c r="H3" s="431" t="s">
        <v>906</v>
      </c>
      <c r="J3" s="180"/>
    </row>
    <row r="4" spans="1:13" s="179" customFormat="1" ht="13">
      <c r="A4" s="431"/>
      <c r="B4" s="431"/>
      <c r="C4" s="431"/>
      <c r="D4" s="431"/>
      <c r="E4" s="431"/>
      <c r="F4" s="431"/>
      <c r="G4" s="431"/>
      <c r="H4" s="431"/>
      <c r="J4" s="180"/>
    </row>
    <row r="5" spans="1:13" s="182" customFormat="1" ht="13">
      <c r="A5" s="431"/>
      <c r="B5" s="432" t="s">
        <v>907</v>
      </c>
      <c r="C5" s="431"/>
      <c r="D5" s="433" t="s">
        <v>834</v>
      </c>
      <c r="E5" s="431"/>
      <c r="F5" s="434" t="s">
        <v>841</v>
      </c>
      <c r="G5" s="431"/>
      <c r="H5" s="435" t="s">
        <v>831</v>
      </c>
      <c r="I5" s="179"/>
      <c r="J5" s="181"/>
      <c r="K5" s="179"/>
    </row>
    <row r="6" spans="1:13" s="179" customFormat="1" ht="13">
      <c r="A6" s="431"/>
      <c r="B6" s="431" t="s">
        <v>908</v>
      </c>
      <c r="C6" s="431"/>
      <c r="D6" s="2186" t="s">
        <v>909</v>
      </c>
      <c r="E6" s="431"/>
      <c r="F6" s="2186" t="s">
        <v>910</v>
      </c>
      <c r="G6" s="431"/>
      <c r="H6" s="431" t="s">
        <v>911</v>
      </c>
      <c r="J6" s="180"/>
    </row>
    <row r="7" spans="1:13" s="179" customFormat="1" ht="13">
      <c r="A7" s="431"/>
      <c r="B7" s="431"/>
      <c r="C7" s="431"/>
      <c r="D7" s="2187"/>
      <c r="E7" s="431"/>
      <c r="F7" s="2187"/>
      <c r="G7" s="431"/>
      <c r="H7" s="431"/>
      <c r="J7" s="180"/>
    </row>
    <row r="8" spans="1:13" s="182" customFormat="1" ht="13">
      <c r="A8" s="431"/>
      <c r="B8" s="432" t="s">
        <v>912</v>
      </c>
      <c r="C8" s="431"/>
      <c r="D8" s="433" t="s">
        <v>913</v>
      </c>
      <c r="E8" s="431"/>
      <c r="F8" s="434" t="s">
        <v>812</v>
      </c>
      <c r="G8" s="431"/>
      <c r="H8" s="435" t="s">
        <v>858</v>
      </c>
      <c r="I8" s="179"/>
      <c r="J8" s="181"/>
      <c r="K8" s="179"/>
    </row>
    <row r="9" spans="1:13" s="179" customFormat="1" ht="13">
      <c r="A9" s="431"/>
      <c r="B9" s="431" t="s">
        <v>914</v>
      </c>
      <c r="C9" s="431"/>
      <c r="D9" s="2186" t="s">
        <v>909</v>
      </c>
      <c r="E9" s="431"/>
      <c r="F9" s="431" t="s">
        <v>915</v>
      </c>
      <c r="G9" s="431"/>
      <c r="H9" s="2186" t="s">
        <v>916</v>
      </c>
      <c r="J9" s="180"/>
    </row>
    <row r="10" spans="1:13" s="179" customFormat="1" ht="13">
      <c r="A10" s="431"/>
      <c r="B10" s="431"/>
      <c r="C10" s="431"/>
      <c r="D10" s="2187"/>
      <c r="E10" s="431"/>
      <c r="F10" s="436"/>
      <c r="G10" s="431"/>
      <c r="H10" s="2187"/>
      <c r="J10" s="180"/>
    </row>
    <row r="11" spans="1:13" s="182" customFormat="1" ht="13">
      <c r="A11" s="431"/>
      <c r="B11" s="432" t="s">
        <v>917</v>
      </c>
      <c r="C11" s="431"/>
      <c r="D11" s="433" t="s">
        <v>918</v>
      </c>
      <c r="E11" s="431"/>
      <c r="F11" s="434" t="s">
        <v>849</v>
      </c>
      <c r="G11" s="431"/>
      <c r="H11" s="435" t="s">
        <v>847</v>
      </c>
      <c r="I11" s="179"/>
      <c r="J11" s="179"/>
      <c r="K11" s="179"/>
    </row>
    <row r="12" spans="1:13" s="179" customFormat="1" ht="13">
      <c r="A12" s="431"/>
      <c r="B12" s="431" t="s">
        <v>919</v>
      </c>
      <c r="C12" s="431"/>
      <c r="D12" s="431" t="s">
        <v>920</v>
      </c>
      <c r="E12" s="431"/>
      <c r="F12" s="431" t="s">
        <v>921</v>
      </c>
      <c r="G12" s="431"/>
      <c r="H12" s="2186" t="s">
        <v>922</v>
      </c>
    </row>
    <row r="13" spans="1:13" s="179" customFormat="1" ht="13">
      <c r="A13" s="431"/>
      <c r="B13" s="431"/>
      <c r="C13" s="431"/>
      <c r="D13" s="431"/>
      <c r="E13" s="431"/>
      <c r="F13" s="431"/>
      <c r="G13" s="431"/>
      <c r="H13" s="2187"/>
    </row>
    <row r="14" spans="1:13" s="182" customFormat="1" ht="13">
      <c r="A14" s="431"/>
      <c r="B14" s="437" t="s">
        <v>923</v>
      </c>
      <c r="C14" s="431"/>
      <c r="D14" s="433" t="s">
        <v>924</v>
      </c>
      <c r="E14" s="431"/>
      <c r="F14" s="434" t="s">
        <v>925</v>
      </c>
      <c r="G14" s="431"/>
      <c r="H14" s="435" t="s">
        <v>864</v>
      </c>
      <c r="I14" s="179"/>
      <c r="J14" s="179"/>
      <c r="K14" s="179"/>
    </row>
    <row r="15" spans="1:13" s="179" customFormat="1" ht="13">
      <c r="A15" s="431"/>
      <c r="B15" s="431" t="s">
        <v>926</v>
      </c>
      <c r="C15" s="431"/>
      <c r="D15" s="431" t="s">
        <v>927</v>
      </c>
      <c r="E15" s="431"/>
      <c r="F15" s="431" t="s">
        <v>928</v>
      </c>
      <c r="G15" s="431"/>
      <c r="H15" s="431" t="s">
        <v>929</v>
      </c>
    </row>
    <row r="16" spans="1:13" s="179" customFormat="1" ht="13">
      <c r="A16" s="431"/>
      <c r="B16" s="431"/>
      <c r="C16" s="431"/>
      <c r="D16" s="431" t="s">
        <v>930</v>
      </c>
      <c r="E16" s="431"/>
      <c r="F16" s="431"/>
      <c r="G16" s="431"/>
      <c r="H16" s="431"/>
    </row>
    <row r="17" spans="1:13" s="179" customFormat="1" ht="13">
      <c r="A17" s="431"/>
      <c r="B17" s="431"/>
      <c r="C17" s="431"/>
      <c r="D17" s="431" t="s">
        <v>931</v>
      </c>
      <c r="E17" s="431"/>
      <c r="F17" s="431"/>
      <c r="G17" s="431"/>
      <c r="H17" s="435" t="s">
        <v>932</v>
      </c>
    </row>
    <row r="18" spans="1:13" s="179" customFormat="1" ht="13">
      <c r="A18" s="431"/>
      <c r="B18" s="431"/>
      <c r="C18" s="431"/>
      <c r="D18" s="431"/>
      <c r="E18" s="431"/>
      <c r="F18" s="431"/>
      <c r="G18" s="431"/>
      <c r="H18" s="431" t="s">
        <v>933</v>
      </c>
    </row>
    <row r="19" spans="1:13" s="179" customFormat="1" ht="13">
      <c r="A19" s="431"/>
      <c r="B19" s="431"/>
      <c r="C19" s="431"/>
      <c r="D19" s="431"/>
      <c r="E19" s="431"/>
      <c r="F19" s="431"/>
      <c r="G19" s="431"/>
      <c r="H19" s="431" t="s">
        <v>934</v>
      </c>
    </row>
    <row r="20" spans="1:13" s="179" customFormat="1" ht="12.5">
      <c r="H20" s="180"/>
    </row>
    <row r="21" spans="1:13" s="188" customFormat="1" ht="20.5">
      <c r="A21" s="430" t="s">
        <v>935</v>
      </c>
      <c r="B21" s="184"/>
      <c r="C21" s="185"/>
      <c r="D21" s="186"/>
      <c r="E21" s="186"/>
      <c r="F21" s="187"/>
      <c r="G21" s="187"/>
      <c r="H21" s="187"/>
      <c r="I21" s="187"/>
      <c r="J21" s="187"/>
      <c r="K21" s="187"/>
      <c r="L21" s="187"/>
      <c r="M21" s="187"/>
    </row>
    <row r="22" spans="1:13" ht="12.5"/>
    <row r="55" ht="12.4" customHeight="1"/>
    <row r="56" ht="12.4" customHeight="1"/>
    <row r="65" ht="12.4" customHeight="1"/>
    <row r="66" ht="12.4" customHeight="1"/>
    <row r="67" ht="12.4" customHeight="1"/>
    <row r="68" ht="12.4" customHeight="1"/>
    <row r="69" ht="12.4" customHeight="1"/>
    <row r="70" ht="12.4" customHeight="1"/>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2054" t="s">
        <v>29</v>
      </c>
      <c r="C1" s="2055"/>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65"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32" t="s">
        <v>60</v>
      </c>
      <c r="C35" s="1433" t="s">
        <v>76</v>
      </c>
    </row>
    <row r="36" spans="2:3" ht="62.5" thickBot="1">
      <c r="B36" s="1432" t="s">
        <v>64</v>
      </c>
      <c r="C36" s="1433" t="s">
        <v>77</v>
      </c>
    </row>
    <row r="37" spans="2:3" ht="31.5" thickBot="1">
      <c r="B37" s="1432" t="s">
        <v>64</v>
      </c>
      <c r="C37" s="1433" t="s">
        <v>78</v>
      </c>
    </row>
    <row r="38" spans="2:3" ht="62.5" thickBot="1">
      <c r="B38" s="1432" t="s">
        <v>79</v>
      </c>
      <c r="C38" s="1433" t="s">
        <v>80</v>
      </c>
    </row>
    <row r="39" spans="2:3" ht="31.5" thickBot="1">
      <c r="B39" s="1779" t="s">
        <v>64</v>
      </c>
      <c r="C39" s="1780" t="s">
        <v>81</v>
      </c>
    </row>
    <row r="40" spans="2:3" ht="16" thickBot="1">
      <c r="B40" s="1933" t="s">
        <v>82</v>
      </c>
      <c r="C40" s="1934" t="s">
        <v>83</v>
      </c>
    </row>
    <row r="41" spans="2:3" ht="16" thickBot="1">
      <c r="B41" s="1933" t="s">
        <v>64</v>
      </c>
      <c r="C41" s="1934" t="s">
        <v>84</v>
      </c>
    </row>
    <row r="42" spans="2:3" ht="62.5" thickBot="1">
      <c r="B42" s="1933" t="s">
        <v>64</v>
      </c>
      <c r="C42" s="1934" t="s">
        <v>85</v>
      </c>
    </row>
    <row r="43" spans="2:3" ht="31.5" thickBot="1">
      <c r="B43" s="2041" t="s">
        <v>60</v>
      </c>
      <c r="C43" s="2042" t="s">
        <v>86</v>
      </c>
    </row>
    <row r="44" spans="2:3" ht="16" thickBot="1">
      <c r="B44" s="2039" t="s">
        <v>87</v>
      </c>
      <c r="C44" s="2040" t="s">
        <v>88</v>
      </c>
    </row>
    <row r="45" spans="2:3" ht="31.5" thickBot="1">
      <c r="B45" s="2041" t="s">
        <v>87</v>
      </c>
      <c r="C45" s="2042" t="s">
        <v>89</v>
      </c>
    </row>
    <row r="46" spans="2:3" ht="31.5" thickBot="1">
      <c r="B46" s="2041" t="s">
        <v>87</v>
      </c>
      <c r="C46" s="2042" t="s">
        <v>90</v>
      </c>
    </row>
    <row r="47" spans="2:3" ht="16" thickBot="1">
      <c r="B47" s="2041" t="s">
        <v>55</v>
      </c>
      <c r="C47" s="2042" t="s">
        <v>91</v>
      </c>
    </row>
    <row r="48" spans="2:3" ht="31.5" thickBot="1">
      <c r="B48" s="2041" t="s">
        <v>92</v>
      </c>
      <c r="C48" s="2042" t="s">
        <v>93</v>
      </c>
    </row>
    <row r="49" spans="2:3" ht="31.5" thickBot="1">
      <c r="B49" s="2041" t="s">
        <v>94</v>
      </c>
      <c r="C49" s="2042" t="s">
        <v>95</v>
      </c>
    </row>
    <row r="50" spans="2:3" ht="16" thickBot="1">
      <c r="B50" s="2041" t="s">
        <v>94</v>
      </c>
      <c r="C50" s="2042" t="s">
        <v>96</v>
      </c>
    </row>
    <row r="51" spans="2:3" ht="31.5" thickBot="1">
      <c r="B51" s="2041" t="s">
        <v>97</v>
      </c>
      <c r="C51" s="2042" t="s">
        <v>98</v>
      </c>
    </row>
    <row r="52" spans="2:3" ht="31.5" thickBot="1">
      <c r="B52" s="2065" t="s">
        <v>99</v>
      </c>
      <c r="C52" s="2066" t="s">
        <v>100</v>
      </c>
    </row>
    <row r="53" spans="2:3" ht="31.5" thickBot="1">
      <c r="B53" s="2065" t="s">
        <v>101</v>
      </c>
      <c r="C53" s="2066" t="s">
        <v>102</v>
      </c>
    </row>
    <row r="54" spans="2:3" ht="16" thickBot="1">
      <c r="B54" s="2065"/>
      <c r="C54" s="2066"/>
    </row>
    <row r="55" spans="2:3" ht="16" thickBot="1">
      <c r="B55" s="2065"/>
      <c r="C55" s="2066"/>
    </row>
    <row r="56" spans="2:3" ht="16" thickBot="1">
      <c r="B56" s="2065"/>
      <c r="C56" s="2066"/>
    </row>
    <row r="57" spans="2:3" ht="16" thickBot="1">
      <c r="B57" s="2065"/>
      <c r="C57" s="2066"/>
    </row>
    <row r="58" spans="2:3" ht="16" thickBot="1">
      <c r="B58" s="2065"/>
      <c r="C58" s="2066"/>
    </row>
    <row r="59" spans="2:3" ht="16" thickBot="1">
      <c r="B59" s="2065"/>
      <c r="C59" s="2066"/>
    </row>
    <row r="60" spans="2:3" ht="16" thickBot="1">
      <c r="B60" s="2065"/>
      <c r="C60" s="2066"/>
    </row>
    <row r="61" spans="2:3" ht="16" thickBot="1">
      <c r="B61" s="2065"/>
      <c r="C61" s="2066"/>
    </row>
    <row r="62" spans="2:3" ht="15.5">
      <c r="B62" s="1507"/>
      <c r="C62" s="1508"/>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Northumbrian Water</v>
      </c>
    </row>
    <row r="3" spans="1:26" ht="62.5">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396"/>
    </row>
    <row r="24" spans="1:26">
      <c r="F24" s="191" t="s">
        <v>1039</v>
      </c>
      <c r="Z24" s="1396"/>
    </row>
    <row r="25" spans="1:26">
      <c r="F25" s="191" t="s">
        <v>1040</v>
      </c>
      <c r="Z25" s="1396"/>
    </row>
    <row r="26" spans="1:26">
      <c r="F26" s="191" t="s">
        <v>1041</v>
      </c>
      <c r="Z26" s="1396"/>
    </row>
    <row r="27" spans="1:26">
      <c r="F27" s="191" t="s">
        <v>1042</v>
      </c>
    </row>
    <row r="28" spans="1:26">
      <c r="F28" s="191" t="s">
        <v>1043</v>
      </c>
    </row>
    <row r="29" spans="1:26">
      <c r="F29" s="191" t="s">
        <v>1044</v>
      </c>
    </row>
    <row r="30" spans="1:26" ht="12" customHeight="1"/>
    <row r="31" spans="1:26" ht="12" customHeight="1"/>
    <row r="32" spans="1:26" ht="13">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J20" sqref="J20"/>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Northumbrian Water</v>
      </c>
      <c r="I1" s="199"/>
    </row>
    <row r="2" spans="1:19" s="201" customFormat="1" ht="20.5">
      <c r="F2" s="442" t="s">
        <v>1045</v>
      </c>
      <c r="G2" s="442" t="s">
        <v>131</v>
      </c>
      <c r="H2" s="442" t="s">
        <v>1046</v>
      </c>
    </row>
    <row r="3" spans="1:19" s="205" customFormat="1" ht="20.5">
      <c r="A3" s="441" t="s">
        <v>890</v>
      </c>
      <c r="B3" s="202"/>
      <c r="C3" s="203"/>
      <c r="D3" s="204"/>
      <c r="E3" s="204"/>
      <c r="F3" s="204"/>
      <c r="G3" s="204"/>
      <c r="H3" s="204"/>
    </row>
    <row r="5" spans="1:19" s="201" customFormat="1" ht="13">
      <c r="B5" s="444"/>
      <c r="C5" s="444"/>
      <c r="D5" s="444"/>
      <c r="E5" s="444" t="s">
        <v>937</v>
      </c>
      <c r="F5" s="445" t="str">
        <f>'Validation summary'!$B$3</f>
        <v>Northumbrian Water</v>
      </c>
      <c r="G5" s="446"/>
      <c r="H5" s="444"/>
      <c r="J5" s="206"/>
      <c r="K5" s="206"/>
      <c r="L5" s="206"/>
      <c r="M5" s="206"/>
      <c r="N5" s="206"/>
      <c r="O5" s="206"/>
      <c r="P5" s="206"/>
      <c r="Q5" s="206"/>
      <c r="R5" s="206"/>
      <c r="S5" s="206"/>
    </row>
    <row r="6" spans="1:19" s="201" customFormat="1" ht="13">
      <c r="B6" s="444"/>
      <c r="C6" s="444"/>
      <c r="D6" s="444"/>
      <c r="E6" s="444" t="s">
        <v>1047</v>
      </c>
      <c r="F6" s="444" t="str">
        <f>INDEX(Validation!$C$5:$C$22, MATCH($F$5, Validation!$B$5:$B$22, 0))</f>
        <v>NES</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936</v>
      </c>
      <c r="F8" s="445" t="str">
        <f>'Validation summary'!$B$2</f>
        <v>2023-24</v>
      </c>
      <c r="G8" s="446" t="s">
        <v>1048</v>
      </c>
      <c r="H8" s="447"/>
      <c r="I8" s="207"/>
    </row>
    <row r="9" spans="1:19" ht="13">
      <c r="B9" s="446"/>
      <c r="C9" s="446"/>
      <c r="D9" s="446"/>
      <c r="E9" s="446"/>
      <c r="F9" s="446"/>
      <c r="G9" s="448"/>
      <c r="H9" s="448"/>
      <c r="I9" s="208"/>
    </row>
    <row r="10" spans="1:19" ht="13">
      <c r="B10" s="446"/>
      <c r="C10" s="446"/>
      <c r="D10" s="446"/>
      <c r="E10" s="446" t="s">
        <v>1049</v>
      </c>
      <c r="F10" s="449" t="s">
        <v>1050</v>
      </c>
      <c r="G10" s="446" t="s">
        <v>1048</v>
      </c>
      <c r="H10" s="448"/>
      <c r="I10" s="208"/>
    </row>
    <row r="11" spans="1:19" ht="13">
      <c r="B11" s="446"/>
      <c r="C11" s="446"/>
      <c r="D11" s="446"/>
      <c r="E11" s="446" t="s">
        <v>1051</v>
      </c>
      <c r="F11" s="446" t="str">
        <f>"£m ("&amp;F10&amp;" prices)"</f>
        <v>£m (2017-18 prices)</v>
      </c>
      <c r="G11" s="446" t="s">
        <v>1052</v>
      </c>
      <c r="H11" s="448"/>
      <c r="I11" s="208"/>
    </row>
    <row r="12" spans="1:19" ht="13">
      <c r="B12" s="446"/>
      <c r="C12" s="446"/>
      <c r="D12" s="446"/>
      <c r="E12" s="446"/>
      <c r="F12" s="446"/>
      <c r="G12" s="446"/>
      <c r="H12" s="446"/>
    </row>
    <row r="13" spans="1:19" ht="20.5">
      <c r="C13" s="443" t="s">
        <v>1053</v>
      </c>
    </row>
    <row r="14" spans="1:19" ht="13">
      <c r="B14" s="446"/>
      <c r="C14" s="446"/>
      <c r="D14" s="446"/>
      <c r="E14" s="446"/>
      <c r="F14" s="446"/>
      <c r="G14" s="446"/>
      <c r="H14" s="446"/>
    </row>
    <row r="15" spans="1:19" ht="13">
      <c r="B15" s="446"/>
      <c r="C15" s="446"/>
      <c r="D15" s="446"/>
      <c r="E15" s="446" t="s">
        <v>1054</v>
      </c>
      <c r="F15" s="1992">
        <v>275.69499999999999</v>
      </c>
      <c r="G15" s="446" t="str">
        <f>$F$11</f>
        <v>£m (2017-18 prices)</v>
      </c>
      <c r="H15" s="446"/>
    </row>
    <row r="16" spans="1:19" ht="13">
      <c r="B16" s="446"/>
      <c r="C16" s="446"/>
      <c r="D16" s="446"/>
      <c r="E16" s="446" t="s">
        <v>1055</v>
      </c>
      <c r="F16" s="1992">
        <v>1872.232</v>
      </c>
      <c r="G16" s="446" t="str">
        <f>$F$11</f>
        <v>£m (2017-18 prices)</v>
      </c>
      <c r="H16" s="446"/>
    </row>
    <row r="17" spans="1:8" ht="13">
      <c r="B17" s="446"/>
      <c r="C17" s="446"/>
      <c r="D17" s="446"/>
      <c r="E17" s="446" t="s">
        <v>1056</v>
      </c>
      <c r="F17" s="450">
        <f>SUM(F15:F16)</f>
        <v>2147.9270000000001</v>
      </c>
      <c r="G17" s="446" t="str">
        <f>$F$11</f>
        <v>£m (2017-18 prices)</v>
      </c>
      <c r="H17" s="446"/>
    </row>
    <row r="18" spans="1:8" ht="13">
      <c r="B18" s="446"/>
      <c r="C18" s="446"/>
      <c r="D18" s="446"/>
      <c r="E18" s="446"/>
      <c r="F18" s="450"/>
      <c r="G18" s="446"/>
      <c r="H18" s="446"/>
    </row>
    <row r="19" spans="1:8" ht="13">
      <c r="B19" s="446"/>
      <c r="C19" s="446"/>
      <c r="D19" s="446"/>
      <c r="E19" s="446" t="s">
        <v>1057</v>
      </c>
      <c r="F19" s="1992">
        <v>1965.374</v>
      </c>
      <c r="G19" s="446" t="str">
        <f>$F$11</f>
        <v>£m (2017-18 prices)</v>
      </c>
      <c r="H19" s="446"/>
    </row>
    <row r="20" spans="1:8" ht="13">
      <c r="B20" s="446"/>
      <c r="C20" s="446"/>
      <c r="D20" s="446"/>
      <c r="E20" s="446" t="s">
        <v>1058</v>
      </c>
      <c r="F20" s="1992">
        <v>139.58099999999999</v>
      </c>
      <c r="G20" s="446" t="str">
        <f>$F$11</f>
        <v>£m (2017-18 prices)</v>
      </c>
      <c r="H20" s="446"/>
    </row>
    <row r="21" spans="1:8" ht="13">
      <c r="B21" s="446"/>
      <c r="C21" s="446"/>
      <c r="D21" s="446"/>
      <c r="E21" s="446" t="s">
        <v>1059</v>
      </c>
      <c r="F21" s="450">
        <f>SUM(F19:F20)</f>
        <v>2104.9549999999999</v>
      </c>
      <c r="G21" s="446" t="str">
        <f>$F$11</f>
        <v>£m (2017-18 prices)</v>
      </c>
      <c r="H21" s="446"/>
    </row>
    <row r="22" spans="1:8" ht="13">
      <c r="B22" s="446"/>
      <c r="C22" s="446"/>
      <c r="D22" s="446"/>
      <c r="E22" s="446"/>
      <c r="F22" s="446"/>
      <c r="G22" s="446"/>
      <c r="H22" s="446"/>
    </row>
    <row r="23" spans="1:8" ht="13">
      <c r="B23" s="446"/>
      <c r="C23" s="446"/>
      <c r="D23" s="451" t="s">
        <v>948</v>
      </c>
      <c r="E23" s="446"/>
      <c r="F23" s="446"/>
      <c r="G23" s="446"/>
      <c r="H23" s="446"/>
    </row>
    <row r="24" spans="1:8" ht="13">
      <c r="B24" s="446"/>
      <c r="C24" s="446"/>
      <c r="D24" s="446"/>
      <c r="E24" s="446" t="s">
        <v>1060</v>
      </c>
      <c r="F24" s="452">
        <v>0.4</v>
      </c>
      <c r="G24" s="446" t="s">
        <v>1061</v>
      </c>
      <c r="H24" s="446"/>
    </row>
    <row r="25" spans="1:8" ht="13">
      <c r="B25" s="446"/>
      <c r="C25" s="446"/>
      <c r="D25" s="446"/>
      <c r="E25" s="446" t="s">
        <v>1062</v>
      </c>
      <c r="F25" s="452">
        <v>0.01</v>
      </c>
      <c r="G25" s="446" t="s">
        <v>1061</v>
      </c>
      <c r="H25" s="446"/>
    </row>
    <row r="27" spans="1:8" ht="20.5">
      <c r="C27" s="443" t="s">
        <v>1063</v>
      </c>
    </row>
    <row r="28" spans="1:8" ht="13">
      <c r="C28" s="209"/>
      <c r="D28" s="446"/>
      <c r="E28" s="446"/>
      <c r="F28" s="446"/>
      <c r="G28" s="446"/>
      <c r="H28" s="446"/>
    </row>
    <row r="29" spans="1:8" ht="13">
      <c r="A29" s="207"/>
      <c r="D29" s="446"/>
      <c r="E29" s="446" t="s">
        <v>1064</v>
      </c>
      <c r="F29" s="452">
        <v>0.5</v>
      </c>
      <c r="G29" s="446" t="s">
        <v>1061</v>
      </c>
      <c r="H29" s="446"/>
    </row>
    <row r="30" spans="1:8" ht="13">
      <c r="A30" s="211">
        <f>SUM(F30*100)</f>
        <v>3</v>
      </c>
      <c r="D30" s="446"/>
      <c r="E30" s="446" t="s">
        <v>1065</v>
      </c>
      <c r="F30" s="452">
        <v>0.03</v>
      </c>
      <c r="G30" s="446" t="s">
        <v>1061</v>
      </c>
      <c r="H30" s="446"/>
    </row>
    <row r="31" spans="1:8" ht="13">
      <c r="D31" s="446"/>
      <c r="E31" s="446"/>
      <c r="F31" s="446"/>
      <c r="G31" s="446"/>
      <c r="H31" s="446"/>
    </row>
    <row r="32" spans="1:8" ht="20.5">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W18" activePane="bottomRight" state="frozen"/>
      <selection pane="topRight" activeCell="I8" sqref="I8"/>
      <selection pane="bottomLeft" activeCell="I8" sqref="I8"/>
      <selection pane="bottomRight" activeCell="X28" sqref="X28"/>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1072</v>
      </c>
      <c r="F7" s="444"/>
      <c r="G7" s="444" t="s">
        <v>1073</v>
      </c>
      <c r="H7" s="444"/>
      <c r="I7" s="444"/>
      <c r="J7" s="467">
        <f>IF('3A'!$F9="","",'3A'!$F9)</f>
        <v>2.91</v>
      </c>
      <c r="K7" s="468">
        <f>IF('3A'!$F10="","",'3A'!$F10)</f>
        <v>4.5486111111111109E-3</v>
      </c>
      <c r="L7" s="469">
        <f>IF('3A'!$F11="","",'3A'!$F11)</f>
        <v>9.0504451038575731</v>
      </c>
      <c r="M7" s="469">
        <f>IF('3A'!$F12="","",'3A'!$F12)</f>
        <v>12.576687116564422</v>
      </c>
      <c r="N7" s="469">
        <f>IF('3A'!$F13="","",'3A'!$F13)</f>
        <v>-2.4568393094289709</v>
      </c>
      <c r="O7" s="469" t="str">
        <f>IF('3A'!$F14="","",'3A'!$F14)</f>
        <v/>
      </c>
      <c r="P7" s="469">
        <f>IF('3A'!$F15="","",'3A'!$F15)</f>
        <v>127.9</v>
      </c>
      <c r="Q7" s="470">
        <f>IF('3A'!$F16="","",'3A'!$F16)</f>
        <v>3</v>
      </c>
      <c r="R7" s="471">
        <f>IF(ISBLANK('3A'!$F19),"",'3A'!$F19)</f>
        <v>7.2</v>
      </c>
      <c r="S7" s="472">
        <f>IF(ISBLANK('3A'!$F20),"",'3A'!$F20)</f>
        <v>3.5</v>
      </c>
      <c r="T7" s="472">
        <f>IF(ISBLANK('3A'!$F21),"",'3A'!$F21)</f>
        <v>150</v>
      </c>
      <c r="U7" s="471">
        <f>IF(ISBLANK('3A'!$F22),"",'3A'!$F22)</f>
        <v>7.42</v>
      </c>
      <c r="V7" s="472">
        <f>IF(ISBLANK('3A'!$F23),"",'3A'!$F23)</f>
        <v>1.74</v>
      </c>
      <c r="W7" s="472">
        <f>IF(ISBLANK('3A'!$F24),"",'3A'!$F24)</f>
        <v>14.071</v>
      </c>
      <c r="X7" s="472">
        <f>IF(ISBLANK('3A'!$F25),"",'3A'!$F25)</f>
        <v>96.6</v>
      </c>
      <c r="Y7" s="472">
        <f>IF(ISBLANK('3A'!$F26),"",'3A'!$F26)</f>
        <v>0</v>
      </c>
      <c r="Z7" s="472">
        <f>IF(ISBLANK('3A'!$F27),"",'3A'!$F27)</f>
        <v>58</v>
      </c>
      <c r="AA7" s="472">
        <f>IF(ISBLANK('3A'!$F28),"",'3A'!$F28)</f>
        <v>15627</v>
      </c>
      <c r="AB7" s="472">
        <f>IF(ISBLANK('3A'!$F29),"",'3A'!$F29)</f>
        <v>59.3</v>
      </c>
      <c r="AC7" s="472">
        <f>IF(ISBLANK('3A'!$F30),"",'3A'!$F30)</f>
        <v>59.9</v>
      </c>
      <c r="AD7" s="472">
        <f>IF(ISBLANK('3A'!$F31),"",'3A'!$F31)</f>
        <v>47.4</v>
      </c>
      <c r="AE7" s="472">
        <f>IF(ISBLANK('3A'!$F32),"",'3A'!$F32)</f>
        <v>73.400000000000006</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1.23</v>
      </c>
      <c r="AM7" s="474">
        <f>IF('3B'!$F10="","",'3B'!$F10)</f>
        <v>22.31</v>
      </c>
      <c r="AN7" s="474">
        <f>IF('3B'!$F11="","",'3B'!$F11)</f>
        <v>8.7899999999999991</v>
      </c>
      <c r="AO7" s="475">
        <f>IF(ISBLANK('3B'!$F12),"",'3B'!$F12)</f>
        <v>98.52</v>
      </c>
      <c r="AP7" s="476">
        <f>IF(ISBLANK('3B'!$F15),"",'3B'!$F15)</f>
        <v>10500</v>
      </c>
      <c r="AQ7" s="477">
        <f>IF(ISBLANK('3B'!$F16),"",'3B'!$F16)</f>
        <v>2824</v>
      </c>
      <c r="AR7" s="477">
        <f>IF(ISBLANK('3B'!$F17),"",'3B'!$F17)</f>
        <v>27</v>
      </c>
      <c r="AS7" s="477">
        <f>IF(ISBLANK('3B'!$F18),"",'3B'!$F18)</f>
        <v>94.1</v>
      </c>
      <c r="AT7" s="477">
        <f>IF(ISBLANK('3B'!$F19),"",'3B'!$F19)</f>
        <v>132</v>
      </c>
      <c r="AU7" s="477">
        <f>IF(ISBLANK('3B'!$F20),"",'3B'!$F20)</f>
        <v>535</v>
      </c>
      <c r="AV7" s="477">
        <f>IF(ISBLANK('3B'!$F21),"",'3B'!$F21)</f>
        <v>0</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1074</v>
      </c>
      <c r="F8" s="444"/>
      <c r="G8" s="444" t="s">
        <v>1075</v>
      </c>
      <c r="H8" s="444"/>
      <c r="I8" s="444"/>
      <c r="J8" s="479"/>
      <c r="K8" s="479"/>
      <c r="L8" s="1332">
        <f>IF(OR('3A'!$R$1="NES",'3A'!$R$1="SSC"),'3F.1'!$G$18,'3F'!$G$18)</f>
        <v>134.80000000000001</v>
      </c>
      <c r="M8" s="1332">
        <f>IF(OR('3A'!$R$1="NES",'3A'!$R$1="SSC"),'3F.2'!$G$18,"")</f>
        <v>65.2</v>
      </c>
      <c r="N8" s="1332">
        <f>IF('3A'!$R$1="SSC",'3F.1'!$G$19,'3F'!$G$19)</f>
        <v>150.6</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1076</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1078</v>
      </c>
      <c r="F16" s="444"/>
      <c r="G16" s="444" t="s">
        <v>1052</v>
      </c>
      <c r="H16" s="444"/>
      <c r="I16" s="444"/>
      <c r="J16" s="491" t="str">
        <f>'3A'!$C$9</f>
        <v>PR19NES_COM03</v>
      </c>
      <c r="K16" s="491" t="str">
        <f>'3A'!$C$10</f>
        <v>PR19NES_COM04</v>
      </c>
      <c r="L16" s="491" t="str">
        <f>'3A'!$C$11</f>
        <v>PR19NES_COM05</v>
      </c>
      <c r="M16" s="491" t="str">
        <f>'3A'!$C$12</f>
        <v>PR19NES_COM06</v>
      </c>
      <c r="N16" s="491" t="str">
        <f>'3A'!$C$13</f>
        <v>PR19NES_COM07</v>
      </c>
      <c r="O16" s="491" t="str">
        <f>'3A'!$C$14</f>
        <v/>
      </c>
      <c r="P16" s="491" t="str">
        <f>'3A'!$C$15</f>
        <v>PR19NES_COM12</v>
      </c>
      <c r="Q16" s="492" t="str">
        <f>'3A'!$C$16</f>
        <v>PR19NES_COM13</v>
      </c>
      <c r="R16" s="491" t="str">
        <f>'3A'!$C$19</f>
        <v>PR19NES_BES04</v>
      </c>
      <c r="S16" s="491" t="str">
        <f>'3A'!$C$20</f>
        <v>PR19NES_BES08</v>
      </c>
      <c r="T16" s="491" t="str">
        <f>'3A'!$C$21</f>
        <v>PR19NES_BES09</v>
      </c>
      <c r="U16" s="491" t="str">
        <f>'3A'!$C$22</f>
        <v>PR19NES_BES11</v>
      </c>
      <c r="V16" s="491" t="str">
        <f>'3A'!$C$23</f>
        <v>PR19NES_BES12</v>
      </c>
      <c r="W16" s="491" t="str">
        <f>'3A'!$C$24</f>
        <v>PR19NES_BES13</v>
      </c>
      <c r="X16" s="491" t="str">
        <f>'3A'!$C$25</f>
        <v>PR19NES_BES14</v>
      </c>
      <c r="Y16" s="491" t="str">
        <f>'3A'!$C$26</f>
        <v>PR19NES_BES18</v>
      </c>
      <c r="Z16" s="491" t="str">
        <f>'3A'!$C$27</f>
        <v>PR19NES_BES20</v>
      </c>
      <c r="AA16" s="491" t="str">
        <f>'3A'!$C$28</f>
        <v>PR19NES_BES21</v>
      </c>
      <c r="AB16" s="491" t="str">
        <f>'3A'!$C$29</f>
        <v>PR19NES_BES24</v>
      </c>
      <c r="AC16" s="491" t="str">
        <f>'3A'!$C$30</f>
        <v>PR19NES_BES25</v>
      </c>
      <c r="AD16" s="491" t="str">
        <f>'3A'!$C$31</f>
        <v>PR19NES_BES26</v>
      </c>
      <c r="AE16" s="491" t="str">
        <f>'3A'!$C$32</f>
        <v>PR19NES_BES28</v>
      </c>
      <c r="AF16" s="491" t="str">
        <f>'3A'!$C$33</f>
        <v/>
      </c>
      <c r="AG16" s="491" t="str">
        <f>'3A'!$C$34</f>
        <v/>
      </c>
      <c r="AH16" s="491" t="str">
        <f>'3A'!$C$35</f>
        <v/>
      </c>
      <c r="AI16" s="491" t="str">
        <f>'3A'!$C$36</f>
        <v/>
      </c>
      <c r="AJ16" s="491" t="str">
        <f>'3A'!$C$37</f>
        <v/>
      </c>
      <c r="AK16" s="492" t="str">
        <f>'3A'!$C$38</f>
        <v/>
      </c>
      <c r="AL16" s="491" t="str">
        <f>'3B'!$C$9</f>
        <v>PR19NES_COM08</v>
      </c>
      <c r="AM16" s="491" t="str">
        <f>'3B'!$C$10</f>
        <v>PR19NES_COM09</v>
      </c>
      <c r="AN16" s="491" t="str">
        <f>'3B'!$C$11</f>
        <v>PR19NES_COM14</v>
      </c>
      <c r="AO16" s="492" t="str">
        <f>'3B'!$C$12</f>
        <v>PR19NES_COM15</v>
      </c>
      <c r="AP16" s="491" t="str">
        <f>'3B'!$C$15</f>
        <v>PR19NES_BES15</v>
      </c>
      <c r="AQ16" s="491" t="str">
        <f>'3B'!$C$16</f>
        <v>PR19NES_BES16</v>
      </c>
      <c r="AR16" s="491" t="str">
        <f>'3B'!$C$17</f>
        <v>PR19NES_BES17</v>
      </c>
      <c r="AS16" s="491" t="str">
        <f>'3B'!$C$18</f>
        <v>PR19NES_BES19</v>
      </c>
      <c r="AT16" s="491" t="str">
        <f>'3B'!$C$19</f>
        <v>PR19NES_BES27</v>
      </c>
      <c r="AU16" s="491" t="str">
        <f>'3B'!$C$20</f>
        <v>PR19NES_BES31</v>
      </c>
      <c r="AV16" s="491" t="str">
        <f>'3B'!$C$21</f>
        <v>PR19NES_BES29</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6">
      <c r="A17" s="493"/>
      <c r="B17" s="493"/>
      <c r="C17" s="493"/>
      <c r="D17" s="493"/>
      <c r="E17" s="493" t="s">
        <v>1079</v>
      </c>
      <c r="F17" s="493"/>
      <c r="G17" s="493" t="s">
        <v>1052</v>
      </c>
      <c r="H17" s="493"/>
      <c r="I17" s="493"/>
      <c r="J17" s="494" t="str">
        <f>'3A'!$B$9</f>
        <v>Water quality compliance (CRI)</v>
      </c>
      <c r="K17" s="494" t="str">
        <f>'3A'!$B$10</f>
        <v>Water supply interruptions</v>
      </c>
      <c r="L17" s="494" t="str">
        <f>'3A'!$B$11</f>
        <v>Leakage NW region</v>
      </c>
      <c r="M17" s="494" t="str">
        <f>'3A'!$B$12</f>
        <v>Leakage ESW region</v>
      </c>
      <c r="N17" s="494" t="str">
        <f>'3A'!$B$13</f>
        <v>Per capita consumption</v>
      </c>
      <c r="O17" s="494" t="str">
        <f>'3A'!$B$14</f>
        <v>[For use by SSC only]</v>
      </c>
      <c r="P17" s="494" t="str">
        <f>'3A'!$B$15</f>
        <v>Mains repairs</v>
      </c>
      <c r="Q17" s="495" t="str">
        <f>'3A'!$B$16</f>
        <v>Unplanned outage</v>
      </c>
      <c r="R17" s="494" t="str">
        <f>'3A'!$B$19</f>
        <v>Visible leak repair time</v>
      </c>
      <c r="S17" s="494" t="str">
        <f>'3A'!$B$20</f>
        <v xml:space="preserve">Voids </v>
      </c>
      <c r="T17" s="494" t="str">
        <f>'3A'!$B$21</f>
        <v>Interruptions to supply greater than 12 hours</v>
      </c>
      <c r="U17" s="494" t="str">
        <f>'3A'!$B$22</f>
        <v>Discoloured water contacts</v>
      </c>
      <c r="V17" s="494" t="str">
        <f>'3A'!$B$23</f>
        <v>Taste and smell contacts</v>
      </c>
      <c r="W17" s="494" t="str">
        <f>'3A'!$B$24</f>
        <v xml:space="preserve">Event Risk Index  </v>
      </c>
      <c r="X17" s="494" t="str">
        <f>'3A'!$B$25</f>
        <v xml:space="preserve">Interruptions to supply between one and three hours </v>
      </c>
      <c r="Y17" s="494" t="str">
        <f>'3A'!$B$26</f>
        <v>Abstraction incentive mechanism (AIM)</v>
      </c>
      <c r="Z17" s="494" t="str">
        <f>'3A'!$B$27</f>
        <v>Water environment improvements</v>
      </c>
      <c r="AA17" s="494" t="str">
        <f>'3A'!$B$28</f>
        <v>Greenhouse Gas Emissions</v>
      </c>
      <c r="AB17" s="494" t="str">
        <f>'3A'!$B$29</f>
        <v>Delivery of water resilience enhanced programme</v>
      </c>
      <c r="AC17" s="494" t="str">
        <f>'3A'!$B$30</f>
        <v>Delivery of lead enhancement programme</v>
      </c>
      <c r="AD17" s="494" t="str">
        <f>'3A'!$B$31</f>
        <v>Delivery of smart water metering enhancement programme</v>
      </c>
      <c r="AE17" s="494" t="str">
        <f>'3A'!$B$32</f>
        <v>Delivery of cyber resilience enhancement programme</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Sewer blockages</v>
      </c>
      <c r="AQ17" s="494" t="str">
        <f>'3B'!$B$16</f>
        <v>External sewer flooding</v>
      </c>
      <c r="AR17" s="494" t="str">
        <f>'3B'!$B$17</f>
        <v xml:space="preserve">Repeat sewer flooding </v>
      </c>
      <c r="AS17" s="494" t="str">
        <f>'3B'!$B$18</f>
        <v xml:space="preserve">Bathing water compliance </v>
      </c>
      <c r="AT17" s="494" t="str">
        <f>'3B'!$B$19</f>
        <v>Delivery wastewater resilience enhancement programme</v>
      </c>
      <c r="AU17" s="494" t="str">
        <f>'3B'!$B$20</f>
        <v>Water Industry National Environment Programme</v>
      </c>
      <c r="AV17" s="494" t="str">
        <f>'3B'!$B$21</f>
        <v>Delivery of Howdon STW enhancement</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v>-0.39400000000000002</v>
      </c>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 xml:space="preserve">% </v>
      </c>
      <c r="Y31" s="499" t="str">
        <f t="shared" si="1"/>
        <v>nr</v>
      </c>
      <c r="Z31" s="499" t="str">
        <f t="shared" si="1"/>
        <v>nr</v>
      </c>
      <c r="AA31" s="499" t="str">
        <f t="shared" si="1"/>
        <v>tCO2e</v>
      </c>
      <c r="AB31" s="499" t="str">
        <f t="shared" si="1"/>
        <v>%</v>
      </c>
      <c r="AC31" s="499" t="str">
        <f t="shared" si="1"/>
        <v>%</v>
      </c>
      <c r="AD31" s="499" t="str">
        <f t="shared" si="1"/>
        <v>%</v>
      </c>
      <c r="AE31" s="499" t="str">
        <f t="shared" si="1"/>
        <v>%</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v>
      </c>
      <c r="AT31" s="499" t="str">
        <f t="shared" si="2"/>
        <v>nr</v>
      </c>
      <c r="AU31" s="499" t="str">
        <f t="shared" si="2"/>
        <v>nr</v>
      </c>
      <c r="AV31" s="499" t="str">
        <f t="shared" si="2"/>
        <v>months</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943</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Revenue</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944</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In-period</v>
      </c>
      <c r="AB34" s="504" t="str">
        <f t="shared" si="7"/>
        <v>End of period</v>
      </c>
      <c r="AC34" s="504" t="str">
        <f t="shared" si="7"/>
        <v>End of period</v>
      </c>
      <c r="AD34" s="504" t="str">
        <f t="shared" si="7"/>
        <v>End of period</v>
      </c>
      <c r="AE34" s="504" t="str">
        <f t="shared" si="7"/>
        <v>In-period</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End of period</v>
      </c>
      <c r="AU34" s="504" t="str">
        <f t="shared" si="8"/>
        <v>In-period</v>
      </c>
      <c r="AV34" s="504" t="str">
        <f t="shared" si="8"/>
        <v>End of period</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0</v>
      </c>
      <c r="AD36" s="496" t="b">
        <v>0</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Down</v>
      </c>
      <c r="X38" s="504" t="str">
        <f t="shared" si="10"/>
        <v>Down</v>
      </c>
      <c r="Y38" s="504" t="str">
        <f t="shared" si="10"/>
        <v>Down</v>
      </c>
      <c r="Z38" s="504" t="str">
        <f t="shared" si="10"/>
        <v>Up</v>
      </c>
      <c r="AA38" s="504" t="str">
        <f t="shared" si="10"/>
        <v>Up</v>
      </c>
      <c r="AB38" s="504" t="str">
        <f t="shared" si="10"/>
        <v>Up</v>
      </c>
      <c r="AC38" s="504" t="str">
        <f t="shared" si="10"/>
        <v>Up</v>
      </c>
      <c r="AD38" s="504" t="str">
        <f t="shared" si="10"/>
        <v>Up</v>
      </c>
      <c r="AE38" s="504" t="str">
        <f t="shared" si="10"/>
        <v>Up</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Up</v>
      </c>
      <c r="AT38" s="504" t="str">
        <f t="shared" si="11"/>
        <v>Up</v>
      </c>
      <c r="AU38" s="504" t="str">
        <f t="shared" si="11"/>
        <v>Up</v>
      </c>
      <c r="AV38" s="504" t="str">
        <f t="shared" si="11"/>
        <v>Down</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410</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2</v>
      </c>
      <c r="T40" s="504">
        <f t="shared" si="13"/>
        <v>0</v>
      </c>
      <c r="U40" s="504">
        <f t="shared" si="13"/>
        <v>2</v>
      </c>
      <c r="V40" s="504">
        <f t="shared" si="13"/>
        <v>2</v>
      </c>
      <c r="W40" s="504">
        <f t="shared" si="13"/>
        <v>3</v>
      </c>
      <c r="X40" s="504">
        <f t="shared" si="13"/>
        <v>1</v>
      </c>
      <c r="Y40" s="504">
        <f t="shared" si="13"/>
        <v>0</v>
      </c>
      <c r="Z40" s="504">
        <f t="shared" si="13"/>
        <v>1</v>
      </c>
      <c r="AA40" s="504">
        <f t="shared" si="13"/>
        <v>0</v>
      </c>
      <c r="AB40" s="504">
        <f t="shared" si="13"/>
        <v>1</v>
      </c>
      <c r="AC40" s="504">
        <f t="shared" si="13"/>
        <v>1</v>
      </c>
      <c r="AD40" s="504">
        <f t="shared" si="13"/>
        <v>1</v>
      </c>
      <c r="AE40" s="504">
        <f t="shared" si="13"/>
        <v>1</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2</v>
      </c>
      <c r="AT40" s="504">
        <f t="shared" si="14"/>
        <v>0</v>
      </c>
      <c r="AU40" s="504">
        <f t="shared" si="14"/>
        <v>0</v>
      </c>
      <c r="AV40" s="504">
        <f t="shared" si="14"/>
        <v>0</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1.4351851851851854E-3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114.3</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3.75</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1.17</v>
      </c>
      <c r="AM43" s="507">
        <f>IF(AM$16="","",IF(INDEX(App1bdata,MATCH(AM$16,App1bIDnrs,0),VLOOKUP(InpCompany!$F$8,ProfileInps,2,0))="","",INDEX(App1bdata,MATCH(AM$16,App1bIDnrs,0),VLOOKUP(InpCompany!$F$8,ProfileInps,2,0))))</f>
        <v>10.82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f>IF(AQ$16="","",IF(INDEX(App1data,MATCH(AQ$16,App1IDnrs,0),VLOOKUP(InpCompany!$F$8,ProfileInps,2,0))="","",INDEX(App1data,MATCH(AQ$16,App1IDnrs,0),VLOOKUP(InpCompany!$F$8,ProfileInps,2,0))))</f>
        <v>2487</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951</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9</v>
      </c>
      <c r="M45" s="1235">
        <f>IF(M$16="","",IF(INDEX(App1bdata,MATCH(M$16,App1bIDnrs,0),VLOOKUP(InpCompany!$F$8,ProfileInps,4,0))="","",INDEX(App1bdata,MATCH(M$16,App1bIDnrs,0),VLOOKUP(InpCompany!$F$8,ProfileInps,4,0))))</f>
        <v>10.5</v>
      </c>
      <c r="N45" s="1235">
        <f>IF(N$16="","",IF(INDEX(App1bdata,MATCH(N$16,App1bIDnrs,0),VLOOKUP(InpCompany!$F$8,ProfileInps,4,0))="","",INDEX(App1bdata,MATCH(N$16,App1bIDnrs,0),VLOOKUP(InpCompany!$F$8,ProfileInps,4,0))))</f>
        <v>4.0999999999999996</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127.9</v>
      </c>
      <c r="Q45" s="509">
        <f>IF(Q$16="","",IF(INDEX(App1bdata,MATCH(Q$16,App1bIDnrs,0),VLOOKUP(InpCompany!$F$8,ProfileInps,4,0))="","",INDEX(App1bdata,MATCH(Q$16,App1bIDnrs,0),VLOOKUP(InpCompany!$F$8,ProfileInps,4,0))))</f>
        <v>3.35</v>
      </c>
      <c r="R45" s="507">
        <f>IF(R$16="","",IF(INDEX(App1data,MATCH(R$16,App1IDnrs,0),VLOOKUP(InpCompany!$F$8,ProfileInps,4,0))="","",INDEX(App1data,MATCH(R$16,App1IDnrs,0),VLOOKUP(InpCompany!$F$8,ProfileInps,4,0))))</f>
        <v>4</v>
      </c>
      <c r="S45" s="507">
        <f>IF(S$16="","",IF(INDEX(App1data,MATCH(S$16,App1IDnrs,0),VLOOKUP(InpCompany!$F$8,ProfileInps,4,0))="","",INDEX(App1data,MATCH(S$16,App1IDnrs,0),VLOOKUP(InpCompany!$F$8,ProfileInps,4,0))))</f>
        <v>4.25</v>
      </c>
      <c r="T45" s="507">
        <f>IF(T$16="","",IF(INDEX(App1data,MATCH(T$16,App1IDnrs,0),VLOOKUP(InpCompany!$F$8,ProfileInps,4,0))="","",INDEX(App1data,MATCH(T$16,App1IDnrs,0),VLOOKUP(InpCompany!$F$8,ProfileInps,4,0))))</f>
        <v>425</v>
      </c>
      <c r="U45" s="507">
        <f>IF(U$16="","",IF(INDEX(App1data,MATCH(U$16,App1IDnrs,0),VLOOKUP(InpCompany!$F$8,ProfileInps,4,0))="","",INDEX(App1data,MATCH(U$16,App1IDnrs,0),VLOOKUP(InpCompany!$F$8,ProfileInps,4,0))))</f>
        <v>8.2100000000000009</v>
      </c>
      <c r="V45" s="507">
        <f>IF(V$16="","",IF(INDEX(App1data,MATCH(V$16,App1IDnrs,0),VLOOKUP(InpCompany!$F$8,ProfileInps,4,0))="","",INDEX(App1data,MATCH(V$16,App1IDnrs,0),VLOOKUP(InpCompany!$F$8,ProfileInps,4,0))))</f>
        <v>2.04</v>
      </c>
      <c r="W45" s="507">
        <f>IF(W$16="","",IF(INDEX(App1data,MATCH(W$16,App1IDnrs,0),VLOOKUP(InpCompany!$F$8,ProfileInps,4,0))="","",INDEX(App1data,MATCH(W$16,App1IDnrs,0),VLOOKUP(InpCompany!$F$8,ProfileInps,4,0))))</f>
        <v>81.87</v>
      </c>
      <c r="X45" s="507">
        <f>IF(X$16="","",IF(INDEX(App1data,MATCH(X$16,App1IDnrs,0),VLOOKUP(InpCompany!$F$8,ProfileInps,4,0))="","",INDEX(App1data,MATCH(X$16,App1IDnrs,0),VLOOKUP(InpCompany!$F$8,ProfileInps,4,0))))</f>
        <v>92.5</v>
      </c>
      <c r="Y45" s="507">
        <f>IF(Y$16="","",IF(INDEX(App1data,MATCH(Y$16,App1IDnrs,0),VLOOKUP(InpCompany!$F$8,ProfileInps,4,0))="","",INDEX(App1data,MATCH(Y$16,App1IDnrs,0),VLOOKUP(InpCompany!$F$8,ProfileInps,4,0))))</f>
        <v>0</v>
      </c>
      <c r="Z45" s="507">
        <f>IF(Z$16="","",IF(INDEX(App1data,MATCH(Z$16,App1IDnrs,0),VLOOKUP(InpCompany!$F$8,ProfileInps,4,0))="","",INDEX(App1data,MATCH(Z$16,App1IDnrs,0),VLOOKUP(InpCompany!$F$8,ProfileInps,4,0))))</f>
        <v>10</v>
      </c>
      <c r="AA45" s="507">
        <f>IF(AA$16="","",IF(INDEX(App1data,MATCH(AA$16,App1IDnrs,0),VLOOKUP(InpCompany!$F$8,ProfileInps,4,0))="","",INDEX(App1data,MATCH(AA$16,App1IDnrs,0),VLOOKUP(InpCompany!$F$8,ProfileInps,4,0))))</f>
        <v>7941</v>
      </c>
      <c r="AB45" s="507">
        <f>IF(AB$16="","",IF(INDEX(App1data,MATCH(AB$16,App1IDnrs,0),VLOOKUP(InpCompany!$F$8,ProfileInps,4,0))="","",INDEX(App1data,MATCH(AB$16,App1IDnrs,0),VLOOKUP(InpCompany!$F$8,ProfileInps,4,0))))</f>
        <v>0</v>
      </c>
      <c r="AC45" s="507">
        <f>IF(AC$16="","",IF(INDEX(App1data,MATCH(AC$16,App1IDnrs,0),VLOOKUP(InpCompany!$F$8,ProfileInps,4,0))="","",INDEX(App1data,MATCH(AC$16,App1IDnrs,0),VLOOKUP(InpCompany!$F$8,ProfileInps,4,0))))</f>
        <v>78.8</v>
      </c>
      <c r="AD45" s="507">
        <f>IF(AD$16="","",IF(INDEX(App1data,MATCH(AD$16,App1IDnrs,0),VLOOKUP(InpCompany!$F$8,ProfileInps,4,0))="","",INDEX(App1data,MATCH(AD$16,App1IDnrs,0),VLOOKUP(InpCompany!$F$8,ProfileInps,4,0))))</f>
        <v>80.400000000000006</v>
      </c>
      <c r="AE45" s="507">
        <f>IF(AE$16="","",IF(INDEX(App1data,MATCH(AE$16,App1IDnrs,0),VLOOKUP(InpCompany!$F$8,ProfileInps,4,0))="","",INDEX(App1data,MATCH(AE$16,App1IDnrs,0),VLOOKUP(InpCompany!$F$8,ProfileInps,4,0))))</f>
        <v>40.4</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1.44</v>
      </c>
      <c r="AM45" s="507">
        <f>IF(AM$16="","",IF(INDEX(App1bdata,MATCH(AM$16,App1bIDnrs,0),VLOOKUP(InpCompany!$F$8,ProfileInps,4,0))="","",INDEX(App1bdata,MATCH(AM$16,App1bIDnrs,0),VLOOKUP(InpCompany!$F$8,ProfileInps,4,0))))</f>
        <v>22.4</v>
      </c>
      <c r="AN45" s="507">
        <f>IF(AN$16="","",IF(INDEX(App1bdata,MATCH(AN$16,App1bIDnrs,0),VLOOKUP(InpCompany!$F$8,ProfileInps,4,0))="","",INDEX(App1bdata,MATCH(AN$16,App1bIDnrs,0),VLOOKUP(InpCompany!$F$8,ProfileInps,4,0))))</f>
        <v>8.7899999999999991</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10950</v>
      </c>
      <c r="AQ45" s="507">
        <f>IF(AQ$16="","",IF(INDEX(App1data,MATCH(AQ$16,App1IDnrs,0),VLOOKUP(InpCompany!$F$8,ProfileInps,4,0))="","",INDEX(App1data,MATCH(AQ$16,App1IDnrs,0),VLOOKUP(InpCompany!$F$8,ProfileInps,4,0))))</f>
        <v>2828</v>
      </c>
      <c r="AR45" s="507">
        <f>IF(AR$16="","",IF(INDEX(App1data,MATCH(AR$16,App1IDnrs,0),VLOOKUP(InpCompany!$F$8,ProfileInps,4,0))="","",INDEX(App1data,MATCH(AR$16,App1IDnrs,0),VLOOKUP(InpCompany!$F$8,ProfileInps,4,0))))</f>
        <v>39</v>
      </c>
      <c r="AS45" s="507">
        <f>IF(AS$16="","",IF(INDEX(App1data,MATCH(AS$16,App1IDnrs,0),VLOOKUP(InpCompany!$F$8,ProfileInps,4,0))="","",INDEX(App1data,MATCH(AS$16,App1IDnrs,0),VLOOKUP(InpCompany!$F$8,ProfileInps,4,0))))</f>
        <v>97.06</v>
      </c>
      <c r="AT45" s="507">
        <f>IF(AT$16="","",IF(INDEX(App1data,MATCH(AT$16,App1IDnrs,0),VLOOKUP(InpCompany!$F$8,ProfileInps,4,0))="","",INDEX(App1data,MATCH(AT$16,App1IDnrs,0),VLOOKUP(InpCompany!$F$8,ProfileInps,4,0))))</f>
        <v>105</v>
      </c>
      <c r="AU45" s="507">
        <f>IF(AU$16="","",IF(INDEX(App1data,MATCH(AU$16,App1IDnrs,0),VLOOKUP(InpCompany!$F$8,ProfileInps,4,0))="","",INDEX(App1data,MATCH(AU$16,App1IDnrs,0),VLOOKUP(InpCompany!$F$8,ProfileInps,4,0))))</f>
        <v>535</v>
      </c>
      <c r="AV45" s="507">
        <f>IF(AV$16="","",IF(INDEX(App1data,MATCH(AV$16,App1IDnrs,0),VLOOKUP(InpCompany!$F$8,ProfileInps,4,0))="","",INDEX(App1data,MATCH(AV$16,App1IDnrs,0),VLOOKUP(InpCompany!$F$8,ProfileInps,4,0))))</f>
        <v>0</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952</v>
      </c>
      <c r="F46" s="444"/>
      <c r="G46" s="444" t="s">
        <v>1073</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137.9</v>
      </c>
      <c r="Q46" s="509">
        <f>IF(Q$16="","",IF(INDEX(App1bdata,MATCH(Q$16,App1bIDnrs,0),VLOOKUP(InpCompany!$F$8,ProfileInps,5,0))="","",INDEX(App1bdata,MATCH(Q$16,App1bIDnrs,0),VLOOKUP(InpCompany!$F$8,ProfileInps,5,0))))</f>
        <v>4.0199999999999996</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953</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-38</v>
      </c>
      <c r="M47" s="1235">
        <f>IF(M$16="","",IF(INDEX(App1bdata,MATCH(M$16,App1bIDnrs,0),VLOOKUP(InpCompany!$F$8,ProfileInps,6,0))="","",INDEX(App1bdata,MATCH(M$16,App1bIDnrs,0),VLOOKUP(InpCompany!$F$8,ProfileInps,6,0))))</f>
        <v>-77.3</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198.6</v>
      </c>
      <c r="Q47" s="509">
        <f>IF(Q$16="","",IF(INDEX(App1bdata,MATCH(Q$16,App1bIDnrs,0),VLOOKUP(InpCompany!$F$8,ProfileInps,6,0))="","",INDEX(App1bdata,MATCH(Q$16,App1bIDnrs,0),VLOOKUP(InpCompany!$F$8,ProfileInps,6,0))))</f>
        <v>12.74</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4.9400000000000004</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180</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36</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3.6</v>
      </c>
      <c r="AM47" s="507">
        <f>IF(AM$16="","",IF(INDEX(App1bdata,MATCH(AM$16,App1bIDnrs,0),VLOOKUP(InpCompany!$F$8,ProfileInps,6,0))="","",INDEX(App1bdata,MATCH(AM$16,App1bIDnrs,0),VLOOKUP(InpCompany!$F$8,ProfileInps,6,0))))</f>
        <v>41.6</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5058</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1.028</v>
      </c>
      <c r="L49" s="510">
        <f t="shared" si="15"/>
        <v>0.15</v>
      </c>
      <c r="M49" s="510">
        <f t="shared" si="15"/>
        <v>0.154</v>
      </c>
      <c r="N49" s="510">
        <f t="shared" si="15"/>
        <v>0.17499999999999999</v>
      </c>
      <c r="O49" s="510" t="str">
        <f t="shared" si="15"/>
        <v/>
      </c>
      <c r="P49" s="510">
        <f t="shared" si="15"/>
        <v>9.8000000000000004E-2</v>
      </c>
      <c r="Q49" s="511" t="str">
        <f t="shared" si="15"/>
        <v/>
      </c>
      <c r="R49" s="510">
        <f t="shared" ref="R49:AK49" si="16">IF(R$16="","",IF(INDEX(App1data,MATCH(R$16,App1IDnrs,0),101)="","",INDEX(App1data,MATCH(R$16,App1IDnrs,0),101)))</f>
        <v>0.26100000000000001</v>
      </c>
      <c r="S49" s="510">
        <f t="shared" si="16"/>
        <v>2.665</v>
      </c>
      <c r="T49" s="510">
        <f t="shared" si="16"/>
        <v>3.31E-3</v>
      </c>
      <c r="U49" s="510">
        <f t="shared" si="16"/>
        <v>0.878</v>
      </c>
      <c r="V49" s="510">
        <f t="shared" si="16"/>
        <v>0.878</v>
      </c>
      <c r="W49" s="510" t="str">
        <f t="shared" si="16"/>
        <v/>
      </c>
      <c r="X49" s="510">
        <f t="shared" si="16"/>
        <v>0.77100000000000002</v>
      </c>
      <c r="Y49" s="510">
        <f t="shared" si="16"/>
        <v>4.1999999999999998E-5</v>
      </c>
      <c r="Z49" s="510">
        <f t="shared" si="16"/>
        <v>7.6800000000000002E-3</v>
      </c>
      <c r="AA49" s="510">
        <f t="shared" si="16"/>
        <v>1.8699999999999999E-4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2.5230000000000001</v>
      </c>
      <c r="AM49" s="510">
        <f>IF(AM$16="","",IF(INDEX(App1bdata,MATCH(AM$16,App1bIDnrs,0),101)="","",INDEX(App1bdata,MATCH(AM$16,App1bIDnrs,0),101)))</f>
        <v>0.29899999999999999</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7.7999999999999999E-4</v>
      </c>
      <c r="AQ49" s="510">
        <f t="shared" si="17"/>
        <v>4.3099999999999996E-3</v>
      </c>
      <c r="AR49" s="510">
        <f t="shared" si="17"/>
        <v>5.5100000000000003E-2</v>
      </c>
      <c r="AS49" s="510">
        <f t="shared" si="17"/>
        <v>0.249</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-1.3939999999999999</v>
      </c>
      <c r="K50" s="510">
        <f t="shared" si="18"/>
        <v>-1.028</v>
      </c>
      <c r="L50" s="510">
        <f t="shared" si="18"/>
        <v>-0.17499999999999999</v>
      </c>
      <c r="M50" s="510">
        <f t="shared" si="18"/>
        <v>-0.18</v>
      </c>
      <c r="N50" s="510">
        <f t="shared" si="18"/>
        <v>-0.19800000000000001</v>
      </c>
      <c r="O50" s="510" t="str">
        <f t="shared" si="18"/>
        <v/>
      </c>
      <c r="P50" s="510">
        <f t="shared" si="18"/>
        <v>-0.14899999999999999</v>
      </c>
      <c r="Q50" s="511">
        <f t="shared" si="18"/>
        <v>-1.72</v>
      </c>
      <c r="R50" s="510">
        <f t="shared" ref="R50:AK50" si="19">IF(R$16="","",IF(INDEX(App1data,MATCH(R$16,App1IDnrs,0),97)="","",INDEX(App1data,MATCH(R$16,App1IDnrs,0),97)))</f>
        <v>-0.42799999999999999</v>
      </c>
      <c r="S50" s="510">
        <f t="shared" si="19"/>
        <v>-2.665</v>
      </c>
      <c r="T50" s="510">
        <f t="shared" si="19"/>
        <v>-3.31E-3</v>
      </c>
      <c r="U50" s="510">
        <f t="shared" si="19"/>
        <v>-1.054</v>
      </c>
      <c r="V50" s="510">
        <f t="shared" si="19"/>
        <v>-1.054</v>
      </c>
      <c r="W50" s="510">
        <f t="shared" si="19"/>
        <v>-2E-3</v>
      </c>
      <c r="X50" s="510">
        <f t="shared" si="19"/>
        <v>-1.119</v>
      </c>
      <c r="Y50" s="510">
        <f t="shared" si="19"/>
        <v>-3.4999999999999997E-5</v>
      </c>
      <c r="Z50" s="510">
        <f t="shared" si="19"/>
        <v>-1.189E-2</v>
      </c>
      <c r="AA50" s="510">
        <f t="shared" si="19"/>
        <v>-1.8699999999999999E-4</v>
      </c>
      <c r="AB50" s="510">
        <f t="shared" si="19"/>
        <v>-0.36899999999999999</v>
      </c>
      <c r="AC50" s="510">
        <f t="shared" si="19"/>
        <v>-4.6199999999999998E-2</v>
      </c>
      <c r="AD50" s="510">
        <f t="shared" si="19"/>
        <v>-0.19400000000000001</v>
      </c>
      <c r="AE50" s="510">
        <f t="shared" si="19"/>
        <v>-7.3000000000000001E-3</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-2.5230000000000001</v>
      </c>
      <c r="AM50" s="510">
        <f>IF(AM$16="","",IF(INDEX(App1bdata,MATCH(AM$16,App1bIDnrs,0),97)="","",INDEX(App1bdata,MATCH(AM$16,App1bIDnrs,0),97)))</f>
        <v>-0.36499999999999999</v>
      </c>
      <c r="AN50" s="510">
        <f>IF(AN$16="","",IF(INDEX(App1bdata,MATCH(AN$16,App1bIDnrs,0),97)="","",INDEX(App1bdata,MATCH(AN$16,App1bIDnrs,0),97)))</f>
        <v>-0.32200000000000001</v>
      </c>
      <c r="AO50" s="511">
        <f>IF(AO$16="","",IF(INDEX(App1bdata,MATCH(AO$16,App1bIDnrs,0),97)="","",INDEX(App1bdata,MATCH(AO$16,App1bIDnrs,0),97)))</f>
        <v>-0.59699999999999998</v>
      </c>
      <c r="AP50" s="510">
        <f t="shared" ref="AP50:BC50" si="20">IF(AP$16="","",IF(INDEX(App1data,MATCH(AP$16,App1IDnrs,0),97)="","",INDEX(App1data,MATCH(AP$16,App1IDnrs,0),97)))</f>
        <v>-1.4430000000000001E-3</v>
      </c>
      <c r="AQ50" s="510">
        <f t="shared" si="20"/>
        <v>-6.2700000000000004E-3</v>
      </c>
      <c r="AR50" s="510">
        <f t="shared" si="20"/>
        <v>-5.5100000000000003E-2</v>
      </c>
      <c r="AS50" s="510">
        <f t="shared" si="20"/>
        <v>-0.249</v>
      </c>
      <c r="AT50" s="510">
        <f t="shared" si="20"/>
        <v>-0.127</v>
      </c>
      <c r="AU50" s="510">
        <f t="shared" si="20"/>
        <v>-1.83E-2</v>
      </c>
      <c r="AV50" s="510">
        <f t="shared" si="20"/>
        <v>-2.7400000000000001E-2</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f t="shared" si="21"/>
        <v>2.9660000000000002</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f>IF(AM$16="","",IF(INDEX(App1bdata,MATCH(AM$16,App1bIDnrs,0),104)="","",INDEX(App1bdata,MATCH(AM$16,App1bIDnrs,0),104)))</f>
        <v>0.874</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f t="shared" si="24"/>
        <v>-2.9660000000000002</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f>IF(AM$16="","",IF(INDEX(App1bdata,MATCH(AM$16,App1bIDnrs,0),100)="","",INDEX(App1bdata,MATCH(AM$16,App1bIDnrs,0),100)))</f>
        <v>-0.877</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v>
      </c>
      <c r="X68" s="524">
        <f t="shared" si="28"/>
        <v>0</v>
      </c>
      <c r="Y68" s="524">
        <f t="shared" si="28"/>
        <v>1</v>
      </c>
      <c r="Z68" s="524">
        <f t="shared" si="28"/>
        <v>0.122</v>
      </c>
      <c r="AA68" s="524">
        <f t="shared" si="28"/>
        <v>0.11</v>
      </c>
      <c r="AB68" s="524">
        <f t="shared" si="28"/>
        <v>0</v>
      </c>
      <c r="AC68" s="524">
        <f t="shared" si="28"/>
        <v>0</v>
      </c>
      <c r="AD68" s="524">
        <f t="shared" si="28"/>
        <v>0</v>
      </c>
      <c r="AE68" s="524">
        <f t="shared" si="28"/>
        <v>0</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v>
      </c>
      <c r="AT68" s="524">
        <f t="shared" si="29"/>
        <v>0</v>
      </c>
      <c r="AU68" s="524">
        <f t="shared" si="29"/>
        <v>0.14499999999999999</v>
      </c>
      <c r="AV68" s="524">
        <f t="shared" si="29"/>
        <v>0</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f t="shared" si="30"/>
        <v>1</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1</v>
      </c>
      <c r="U69" s="524">
        <f t="shared" si="31"/>
        <v>1</v>
      </c>
      <c r="V69" s="524">
        <f t="shared" si="31"/>
        <v>1</v>
      </c>
      <c r="W69" s="524">
        <f t="shared" si="31"/>
        <v>1</v>
      </c>
      <c r="X69" s="524">
        <f t="shared" si="31"/>
        <v>1</v>
      </c>
      <c r="Y69" s="524">
        <f t="shared" si="31"/>
        <v>0</v>
      </c>
      <c r="Z69" s="524">
        <f t="shared" si="31"/>
        <v>0.501</v>
      </c>
      <c r="AA69" s="524">
        <f t="shared" si="31"/>
        <v>0.44900000000000001</v>
      </c>
      <c r="AB69" s="524">
        <f t="shared" si="31"/>
        <v>1</v>
      </c>
      <c r="AC69" s="524">
        <f t="shared" si="31"/>
        <v>1</v>
      </c>
      <c r="AD69" s="524">
        <f t="shared" si="31"/>
        <v>1</v>
      </c>
      <c r="AE69" s="524">
        <f t="shared" si="31"/>
        <v>0.70399999999999996</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0.16</v>
      </c>
      <c r="AP69" s="524">
        <f t="shared" ref="AP69:BC69" si="32">IF(AP$16="","",INDEX(App1data,MATCH(AP$16,App1IDnrs,0),8))</f>
        <v>0</v>
      </c>
      <c r="AQ69" s="524">
        <f t="shared" si="32"/>
        <v>0</v>
      </c>
      <c r="AR69" s="524">
        <f t="shared" si="32"/>
        <v>0</v>
      </c>
      <c r="AS69" s="524">
        <f t="shared" si="32"/>
        <v>0</v>
      </c>
      <c r="AT69" s="524">
        <f t="shared" si="32"/>
        <v>0</v>
      </c>
      <c r="AU69" s="524">
        <f t="shared" si="32"/>
        <v>0</v>
      </c>
      <c r="AV69" s="524">
        <f t="shared" si="32"/>
        <v>0</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0.377</v>
      </c>
      <c r="AA70" s="524">
        <f t="shared" si="34"/>
        <v>0.33800000000000002</v>
      </c>
      <c r="AB70" s="524">
        <f t="shared" si="34"/>
        <v>0</v>
      </c>
      <c r="AC70" s="524">
        <f t="shared" si="34"/>
        <v>0</v>
      </c>
      <c r="AD70" s="524">
        <f t="shared" si="34"/>
        <v>0</v>
      </c>
      <c r="AE70" s="524">
        <f t="shared" si="34"/>
        <v>0.29599999999999999</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0.84</v>
      </c>
      <c r="AP70" s="524">
        <f t="shared" ref="AP70:BC70" si="35">IF(AP$16="","",INDEX(App1data,MATCH(AP$16,App1IDnrs,0),9))</f>
        <v>1</v>
      </c>
      <c r="AQ70" s="524">
        <f t="shared" si="35"/>
        <v>1</v>
      </c>
      <c r="AR70" s="524">
        <f t="shared" si="35"/>
        <v>1</v>
      </c>
      <c r="AS70" s="524">
        <f t="shared" si="35"/>
        <v>1</v>
      </c>
      <c r="AT70" s="524">
        <f t="shared" si="35"/>
        <v>1</v>
      </c>
      <c r="AU70" s="524">
        <f t="shared" si="35"/>
        <v>0.85499999999999998</v>
      </c>
      <c r="AV70" s="524">
        <f t="shared" si="35"/>
        <v>1</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2.9000000000000001E-2</v>
      </c>
      <c r="AB71" s="524">
        <f t="shared" si="37"/>
        <v>0</v>
      </c>
      <c r="AC71" s="524">
        <f t="shared" si="37"/>
        <v>0</v>
      </c>
      <c r="AD71" s="524">
        <f t="shared" si="37"/>
        <v>0</v>
      </c>
      <c r="AE71" s="524">
        <f t="shared" si="37"/>
        <v>0</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0</v>
      </c>
      <c r="AU71" s="524">
        <f t="shared" si="38"/>
        <v>0</v>
      </c>
      <c r="AV71" s="524">
        <f t="shared" si="38"/>
        <v>0</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0</v>
      </c>
      <c r="Y72" s="524">
        <f t="shared" si="40"/>
        <v>0</v>
      </c>
      <c r="Z72" s="524">
        <f t="shared" si="40"/>
        <v>0</v>
      </c>
      <c r="AA72" s="524">
        <f t="shared" si="40"/>
        <v>7.3999999999999996E-2</v>
      </c>
      <c r="AB72" s="524">
        <f t="shared" si="40"/>
        <v>0</v>
      </c>
      <c r="AC72" s="524">
        <f t="shared" si="40"/>
        <v>0</v>
      </c>
      <c r="AD72" s="524">
        <f t="shared" si="40"/>
        <v>0</v>
      </c>
      <c r="AE72" s="524">
        <f t="shared" si="40"/>
        <v>0</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f t="shared" si="43"/>
        <v>0</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f t="shared" si="46"/>
        <v>0</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PR19NES_COM03</v>
      </c>
      <c r="K16" s="535" t="str">
        <f>IF(Company_PC_inputs!K16="","",Company_PC_inputs!K16)</f>
        <v>PR19NES_COM04</v>
      </c>
      <c r="L16" s="535" t="str">
        <f>IF(Company_PC_inputs!L16="","",Company_PC_inputs!L16)</f>
        <v>PR19NES_COM05</v>
      </c>
      <c r="M16" s="535" t="str">
        <f>IF(Company_PC_inputs!M16="","",Company_PC_inputs!M16)</f>
        <v>PR19NES_COM06</v>
      </c>
      <c r="N16" s="535" t="str">
        <f>IF(Company_PC_inputs!N16="","",Company_PC_inputs!N16)</f>
        <v>PR19NES_COM07</v>
      </c>
      <c r="O16" s="535" t="str">
        <f>IF(Company_PC_inputs!O16="","",Company_PC_inputs!O16)</f>
        <v/>
      </c>
      <c r="P16" s="535" t="str">
        <f>IF(Company_PC_inputs!P16="","",Company_PC_inputs!P16)</f>
        <v>PR19NES_COM12</v>
      </c>
      <c r="Q16" s="536" t="str">
        <f>IF(Company_PC_inputs!Q16="","",Company_PC_inputs!Q16)</f>
        <v>PR19NES_COM13</v>
      </c>
      <c r="R16" s="535" t="str">
        <f>IF(Company_PC_inputs!R16="","",Company_PC_inputs!R16)</f>
        <v>PR19NES_BES04</v>
      </c>
      <c r="S16" s="535" t="str">
        <f>IF(Company_PC_inputs!S16="","",Company_PC_inputs!S16)</f>
        <v>PR19NES_BES08</v>
      </c>
      <c r="T16" s="535" t="str">
        <f>IF(Company_PC_inputs!T16="","",Company_PC_inputs!T16)</f>
        <v>PR19NES_BES09</v>
      </c>
      <c r="U16" s="535" t="str">
        <f>IF(Company_PC_inputs!U16="","",Company_PC_inputs!U16)</f>
        <v>PR19NES_BES11</v>
      </c>
      <c r="V16" s="535" t="str">
        <f>IF(Company_PC_inputs!V16="","",Company_PC_inputs!V16)</f>
        <v>PR19NES_BES12</v>
      </c>
      <c r="W16" s="535" t="str">
        <f>IF(Company_PC_inputs!W16="","",Company_PC_inputs!W16)</f>
        <v>PR19NES_BES13</v>
      </c>
      <c r="X16" s="535" t="str">
        <f>IF(Company_PC_inputs!X16="","",Company_PC_inputs!X16)</f>
        <v>PR19NES_BES14</v>
      </c>
      <c r="Y16" s="535" t="str">
        <f>IF(Company_PC_inputs!Y16="","",Company_PC_inputs!Y16)</f>
        <v>PR19NES_BES18</v>
      </c>
      <c r="Z16" s="535" t="str">
        <f>IF(Company_PC_inputs!Z16="","",Company_PC_inputs!Z16)</f>
        <v>PR19NES_BES20</v>
      </c>
      <c r="AA16" s="535" t="str">
        <f>IF(Company_PC_inputs!AA16="","",Company_PC_inputs!AA16)</f>
        <v>PR19NES_BES21</v>
      </c>
      <c r="AB16" s="535" t="str">
        <f>IF(Company_PC_inputs!AB16="","",Company_PC_inputs!AB16)</f>
        <v>PR19NES_BES24</v>
      </c>
      <c r="AC16" s="535" t="str">
        <f>IF(Company_PC_inputs!AC16="","",Company_PC_inputs!AC16)</f>
        <v>PR19NES_BES25</v>
      </c>
      <c r="AD16" s="535" t="str">
        <f>IF(Company_PC_inputs!AD16="","",Company_PC_inputs!AD16)</f>
        <v>PR19NES_BES26</v>
      </c>
      <c r="AE16" s="535" t="str">
        <f>IF(Company_PC_inputs!AE16="","",Company_PC_inputs!AE16)</f>
        <v>PR19NES_BES28</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PR19NES_COM08</v>
      </c>
      <c r="AM16" s="535" t="str">
        <f>IF(Company_PC_inputs!AM16="","",Company_PC_inputs!AM16)</f>
        <v>PR19NES_COM09</v>
      </c>
      <c r="AN16" s="535" t="str">
        <f>IF(Company_PC_inputs!AN16="","",Company_PC_inputs!AN16)</f>
        <v>PR19NES_COM14</v>
      </c>
      <c r="AO16" s="536" t="str">
        <f>IF(Company_PC_inputs!AO16="","",Company_PC_inputs!AO16)</f>
        <v>PR19NES_COM15</v>
      </c>
      <c r="AP16" s="535" t="str">
        <f>IF(Company_PC_inputs!AP16="","",Company_PC_inputs!AP16)</f>
        <v>PR19NES_BES15</v>
      </c>
      <c r="AQ16" s="535" t="str">
        <f>IF(Company_PC_inputs!AQ16="","",Company_PC_inputs!AQ16)</f>
        <v>PR19NES_BES16</v>
      </c>
      <c r="AR16" s="535" t="str">
        <f>IF(Company_PC_inputs!AR16="","",Company_PC_inputs!AR16)</f>
        <v>PR19NES_BES17</v>
      </c>
      <c r="AS16" s="535" t="str">
        <f>IF(Company_PC_inputs!AS16="","",Company_PC_inputs!AS16)</f>
        <v>PR19NES_BES19</v>
      </c>
      <c r="AT16" s="535" t="str">
        <f>IF(Company_PC_inputs!AT16="","",Company_PC_inputs!AT16)</f>
        <v>PR19NES_BES27</v>
      </c>
      <c r="AU16" s="535" t="str">
        <f>IF(Company_PC_inputs!AU16="","",Company_PC_inputs!AU16)</f>
        <v>PR19NES_BES31</v>
      </c>
      <c r="AV16" s="535" t="str">
        <f>IF(Company_PC_inputs!AV16="","",Company_PC_inputs!AV16)</f>
        <v>PR19NES_BES29</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6">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NW region</v>
      </c>
      <c r="M17" s="494" t="str">
        <f>IF(Company_PC_inputs!M17="","",Company_PC_inputs!M17)</f>
        <v>Leakage ESW region</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Visible leak repair time</v>
      </c>
      <c r="S17" s="494" t="str">
        <f>IF(Company_PC_inputs!S17="","",Company_PC_inputs!S17)</f>
        <v xml:space="preserve">Voids </v>
      </c>
      <c r="T17" s="494" t="str">
        <f>IF(Company_PC_inputs!T17="","",Company_PC_inputs!T17)</f>
        <v>Interruptions to supply greater than 12 hours</v>
      </c>
      <c r="U17" s="494" t="str">
        <f>IF(Company_PC_inputs!U17="","",Company_PC_inputs!U17)</f>
        <v>Discoloured water contacts</v>
      </c>
      <c r="V17" s="494" t="str">
        <f>IF(Company_PC_inputs!V17="","",Company_PC_inputs!V17)</f>
        <v>Taste and smell contacts</v>
      </c>
      <c r="W17" s="494" t="str">
        <f>IF(Company_PC_inputs!W17="","",Company_PC_inputs!W17)</f>
        <v xml:space="preserve">Event Risk Index  </v>
      </c>
      <c r="X17" s="494" t="str">
        <f>IF(Company_PC_inputs!X17="","",Company_PC_inputs!X17)</f>
        <v xml:space="preserve">Interruptions to supply between one and three hours </v>
      </c>
      <c r="Y17" s="494" t="str">
        <f>IF(Company_PC_inputs!Y17="","",Company_PC_inputs!Y17)</f>
        <v>Abstraction incentive mechanism (AIM)</v>
      </c>
      <c r="Z17" s="494" t="str">
        <f>IF(Company_PC_inputs!Z17="","",Company_PC_inputs!Z17)</f>
        <v>Water environment improvements</v>
      </c>
      <c r="AA17" s="494" t="str">
        <f>IF(Company_PC_inputs!AA17="","",Company_PC_inputs!AA17)</f>
        <v>Greenhouse Gas Emissions</v>
      </c>
      <c r="AB17" s="494" t="str">
        <f>IF(Company_PC_inputs!AB17="","",Company_PC_inputs!AB17)</f>
        <v>Delivery of water resilience enhanced programme</v>
      </c>
      <c r="AC17" s="494" t="str">
        <f>IF(Company_PC_inputs!AC17="","",Company_PC_inputs!AC17)</f>
        <v>Delivery of lead enhancement programme</v>
      </c>
      <c r="AD17" s="494" t="str">
        <f>IF(Company_PC_inputs!AD17="","",Company_PC_inputs!AD17)</f>
        <v>Delivery of smart water metering enhancement programme</v>
      </c>
      <c r="AE17" s="494" t="str">
        <f>IF(Company_PC_inputs!AE17="","",Company_PC_inputs!AE17)</f>
        <v>Delivery of cyber resilience enhancement programme</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Sewer blockages</v>
      </c>
      <c r="AQ17" s="494" t="str">
        <f>IF(Company_PC_inputs!AQ17="","",Company_PC_inputs!AQ17)</f>
        <v>External sewer flooding</v>
      </c>
      <c r="AR17" s="494" t="str">
        <f>IF(Company_PC_inputs!AR17="","",Company_PC_inputs!AR17)</f>
        <v xml:space="preserve">Repeat sewer flooding </v>
      </c>
      <c r="AS17" s="494" t="str">
        <f>IF(Company_PC_inputs!AS17="","",Company_PC_inputs!AS17)</f>
        <v xml:space="preserve">Bathing water compliance </v>
      </c>
      <c r="AT17" s="494" t="str">
        <f>IF(Company_PC_inputs!AT17="","",Company_PC_inputs!AT17)</f>
        <v>Delivery wastewater resilience enhancement programme</v>
      </c>
      <c r="AU17" s="494" t="str">
        <f>IF(Company_PC_inputs!AU17="","",Company_PC_inputs!AU17)</f>
        <v>Water Industry National Environment Programme</v>
      </c>
      <c r="AV17" s="494" t="str">
        <f>IF(Company_PC_inputs!AV17="","",Company_PC_inputs!AV17)</f>
        <v>Delivery of Howdon STW enhancement</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23" zoomScaleNormal="100" workbookViewId="0">
      <selection activeCell="B53" sqref="B53"/>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1113</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1114</v>
      </c>
      <c r="H5" s="2139"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5">
      <c r="A9" s="1995"/>
      <c r="B9" s="2020" t="s">
        <v>1118</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1119</v>
      </c>
      <c r="R11" s="462" t="s">
        <v>1119</v>
      </c>
      <c r="Y11" s="462" t="s">
        <v>1119</v>
      </c>
    </row>
    <row r="12" spans="1:25" ht="26">
      <c r="B12" s="448" t="s">
        <v>145</v>
      </c>
      <c r="E12" s="448"/>
      <c r="F12" s="1937" t="s">
        <v>968</v>
      </c>
      <c r="G12" s="1937" t="s">
        <v>980</v>
      </c>
      <c r="H12" s="1937" t="s">
        <v>985</v>
      </c>
      <c r="I12" s="2043" t="s">
        <v>1120</v>
      </c>
      <c r="K12" s="448" t="s">
        <v>190</v>
      </c>
      <c r="O12" s="1937" t="s">
        <v>968</v>
      </c>
      <c r="P12" s="1937" t="s">
        <v>980</v>
      </c>
      <c r="Q12" s="1937" t="s">
        <v>985</v>
      </c>
      <c r="R12" s="2043" t="s">
        <v>1120</v>
      </c>
      <c r="T12" s="448" t="s">
        <v>1121</v>
      </c>
      <c r="U12" s="448"/>
      <c r="V12" s="1937" t="s">
        <v>968</v>
      </c>
      <c r="W12" s="1937" t="s">
        <v>980</v>
      </c>
      <c r="X12" s="1937" t="s">
        <v>985</v>
      </c>
      <c r="Y12" s="2043" t="s">
        <v>1120</v>
      </c>
    </row>
    <row r="13" spans="1:25" ht="15" customHeight="1">
      <c r="C13" s="448" t="s">
        <v>1122</v>
      </c>
      <c r="D13" s="448" t="s">
        <v>1123</v>
      </c>
      <c r="E13" s="448" t="s">
        <v>942</v>
      </c>
      <c r="F13" s="1937" t="s">
        <v>141</v>
      </c>
      <c r="G13" s="1937" t="s">
        <v>141</v>
      </c>
      <c r="H13" s="1937" t="s">
        <v>141</v>
      </c>
      <c r="I13" s="1937" t="s">
        <v>141</v>
      </c>
      <c r="L13" s="448" t="s">
        <v>1122</v>
      </c>
      <c r="M13" s="448" t="s">
        <v>1123</v>
      </c>
      <c r="N13" s="448" t="s">
        <v>942</v>
      </c>
      <c r="O13" s="1937" t="s">
        <v>141</v>
      </c>
      <c r="P13" s="1937" t="s">
        <v>141</v>
      </c>
      <c r="Q13" s="1937" t="s">
        <v>141</v>
      </c>
      <c r="R13" s="1937" t="s">
        <v>141</v>
      </c>
      <c r="U13" s="2021" t="s">
        <v>942</v>
      </c>
      <c r="V13" s="1937" t="s">
        <v>141</v>
      </c>
      <c r="W13" s="1937" t="s">
        <v>141</v>
      </c>
      <c r="X13" s="1937" t="s">
        <v>141</v>
      </c>
      <c r="Y13" s="1937" t="s">
        <v>141</v>
      </c>
    </row>
    <row r="14" spans="1:25" ht="15" customHeight="1">
      <c r="B14" s="446" t="s">
        <v>972</v>
      </c>
      <c r="C14" s="446" t="s">
        <v>1124</v>
      </c>
      <c r="D14" s="1998" t="s">
        <v>1125</v>
      </c>
      <c r="E14" s="1998" t="s">
        <v>964</v>
      </c>
      <c r="F14" s="1999">
        <v>-1.9073999999999998</v>
      </c>
      <c r="G14" s="1999">
        <v>-2.7302</v>
      </c>
      <c r="H14" s="2000"/>
      <c r="I14" s="2000"/>
      <c r="K14" s="446" t="s">
        <v>972</v>
      </c>
      <c r="L14" s="446" t="s">
        <v>1126</v>
      </c>
      <c r="M14" s="1998" t="s">
        <v>1127</v>
      </c>
      <c r="N14" s="1998" t="s">
        <v>964</v>
      </c>
      <c r="O14" s="1999">
        <v>0</v>
      </c>
      <c r="P14" s="1999">
        <v>0</v>
      </c>
      <c r="Q14" s="2000"/>
      <c r="R14" s="2000"/>
      <c r="T14" s="446" t="s">
        <v>972</v>
      </c>
      <c r="U14" s="446" t="str">
        <f t="shared" ref="U14:U29" si="0">$E14</f>
        <v>Revenue</v>
      </c>
      <c r="V14" s="2001">
        <f t="shared" ref="V14:W17" si="1">F14 + O14</f>
        <v>-1.9073999999999998</v>
      </c>
      <c r="W14" s="2001">
        <f t="shared" si="1"/>
        <v>-2.7302</v>
      </c>
      <c r="X14" s="2001">
        <f t="shared" ref="X14:X17" si="2">H14 + Q14</f>
        <v>0</v>
      </c>
      <c r="Y14" s="2001">
        <f t="shared" ref="Y14:Y17" si="3">I14 + R14</f>
        <v>0</v>
      </c>
    </row>
    <row r="15" spans="1:25" ht="15" customHeight="1">
      <c r="B15" s="446" t="s">
        <v>982</v>
      </c>
      <c r="C15" s="446" t="s">
        <v>1124</v>
      </c>
      <c r="D15" s="1998" t="s">
        <v>1128</v>
      </c>
      <c r="E15" s="1998" t="s">
        <v>964</v>
      </c>
      <c r="F15" s="1999">
        <v>-1.3094999999999999</v>
      </c>
      <c r="G15" s="1999">
        <v>-2.2814999999999999</v>
      </c>
      <c r="H15" s="2000"/>
      <c r="I15" s="2000"/>
      <c r="K15" s="446" t="s">
        <v>982</v>
      </c>
      <c r="L15" s="446" t="s">
        <v>1129</v>
      </c>
      <c r="M15" s="1998" t="s">
        <v>1130</v>
      </c>
      <c r="N15" s="1998" t="s">
        <v>964</v>
      </c>
      <c r="O15" s="1999">
        <v>9.4664999999999999E-2</v>
      </c>
      <c r="P15" s="1999">
        <v>0.85198499999999988</v>
      </c>
      <c r="Q15" s="2000"/>
      <c r="R15" s="2000"/>
      <c r="T15" s="446" t="s">
        <v>982</v>
      </c>
      <c r="U15" s="446" t="str">
        <f t="shared" si="0"/>
        <v>Revenue</v>
      </c>
      <c r="V15" s="2001">
        <f t="shared" si="1"/>
        <v>-1.2148349999999999</v>
      </c>
      <c r="W15" s="2001">
        <f t="shared" si="1"/>
        <v>-1.4295149999999999</v>
      </c>
      <c r="X15" s="2001">
        <f t="shared" si="2"/>
        <v>0</v>
      </c>
      <c r="Y15" s="2001">
        <f t="shared" si="3"/>
        <v>0</v>
      </c>
    </row>
    <row r="16" spans="1:25" ht="15" customHeight="1">
      <c r="B16" s="446" t="s">
        <v>969</v>
      </c>
      <c r="C16" s="446" t="s">
        <v>1124</v>
      </c>
      <c r="D16" s="1998" t="s">
        <v>1131</v>
      </c>
      <c r="E16" s="1998" t="s">
        <v>964</v>
      </c>
      <c r="F16" s="1999">
        <v>-0.1008</v>
      </c>
      <c r="G16" s="1999">
        <v>-0.15960000000000002</v>
      </c>
      <c r="H16" s="2000"/>
      <c r="I16" s="2000"/>
      <c r="K16" s="446" t="s">
        <v>969</v>
      </c>
      <c r="L16" s="446" t="s">
        <v>1132</v>
      </c>
      <c r="M16" s="1998" t="s">
        <v>1133</v>
      </c>
      <c r="N16" s="1998" t="s">
        <v>964</v>
      </c>
      <c r="O16" s="1999">
        <v>0</v>
      </c>
      <c r="P16" s="1999">
        <v>0</v>
      </c>
      <c r="Q16" s="2000"/>
      <c r="R16" s="2000"/>
      <c r="T16" s="446" t="s">
        <v>969</v>
      </c>
      <c r="U16" s="446" t="str">
        <f t="shared" si="0"/>
        <v>Revenue</v>
      </c>
      <c r="V16" s="2001">
        <f t="shared" si="1"/>
        <v>-0.1008</v>
      </c>
      <c r="W16" s="1999">
        <f t="shared" si="1"/>
        <v>-0.15960000000000002</v>
      </c>
      <c r="X16" s="1999">
        <f t="shared" si="2"/>
        <v>0</v>
      </c>
      <c r="Y16" s="1999">
        <f t="shared" si="3"/>
        <v>0</v>
      </c>
    </row>
    <row r="17" spans="2:25" ht="15" customHeight="1">
      <c r="B17" s="446" t="s">
        <v>990</v>
      </c>
      <c r="C17" s="446" t="s">
        <v>1124</v>
      </c>
      <c r="D17" s="1998" t="s">
        <v>1134</v>
      </c>
      <c r="E17" s="1998" t="s">
        <v>964</v>
      </c>
      <c r="F17" s="1999">
        <v>-1.3662000000000001</v>
      </c>
      <c r="G17" s="1999">
        <v>-1.9404000000000001</v>
      </c>
      <c r="H17" s="2000">
        <v>-2.5541999999999998</v>
      </c>
      <c r="I17" s="2000">
        <v>-1.9601999999999999</v>
      </c>
      <c r="K17" s="446" t="s">
        <v>990</v>
      </c>
      <c r="L17" s="446" t="s">
        <v>1135</v>
      </c>
      <c r="M17" s="1998" t="s">
        <v>1136</v>
      </c>
      <c r="N17" s="1998" t="s">
        <v>964</v>
      </c>
      <c r="O17" s="1999">
        <v>0</v>
      </c>
      <c r="P17" s="1999">
        <v>0</v>
      </c>
      <c r="Q17" s="2000"/>
      <c r="R17" s="2000"/>
      <c r="T17" s="446" t="s">
        <v>990</v>
      </c>
      <c r="U17" s="446" t="str">
        <f t="shared" si="0"/>
        <v>Revenue</v>
      </c>
      <c r="V17" s="2001">
        <f t="shared" si="1"/>
        <v>-1.3662000000000001</v>
      </c>
      <c r="W17" s="1999">
        <f t="shared" si="1"/>
        <v>-1.9404000000000001</v>
      </c>
      <c r="X17" s="1999">
        <f t="shared" si="2"/>
        <v>-2.5541999999999998</v>
      </c>
      <c r="Y17" s="1999">
        <f t="shared" si="3"/>
        <v>-1.9601999999999999</v>
      </c>
    </row>
    <row r="18" spans="2:25" ht="15" customHeight="1">
      <c r="B18" s="446" t="s">
        <v>993</v>
      </c>
      <c r="C18" s="446" t="s">
        <v>1124</v>
      </c>
      <c r="D18" s="1998" t="s">
        <v>1137</v>
      </c>
      <c r="E18" s="1998" t="s">
        <v>964</v>
      </c>
      <c r="F18" s="1999">
        <v>-1.5049999999999999</v>
      </c>
      <c r="G18" s="1999">
        <v>-2.38</v>
      </c>
      <c r="H18" s="2000"/>
      <c r="I18" s="2000"/>
      <c r="K18" s="446" t="s">
        <v>999</v>
      </c>
      <c r="L18" s="446" t="s">
        <v>1138</v>
      </c>
      <c r="M18" s="1998" t="s">
        <v>1139</v>
      </c>
      <c r="N18" s="1998" t="s">
        <v>976</v>
      </c>
      <c r="O18" s="1999">
        <v>0</v>
      </c>
      <c r="P18" s="1999">
        <v>0</v>
      </c>
      <c r="Q18" s="2000"/>
      <c r="R18" s="2000"/>
      <c r="T18" s="446" t="s">
        <v>993</v>
      </c>
      <c r="U18" s="446" t="str">
        <f t="shared" si="0"/>
        <v>Revenue</v>
      </c>
      <c r="V18" s="2001">
        <f>F18</f>
        <v>-1.5049999999999999</v>
      </c>
      <c r="W18" s="2001">
        <f>G18</f>
        <v>-2.38</v>
      </c>
      <c r="X18" s="2001">
        <f t="shared" ref="X18:Y18" si="4">H18</f>
        <v>0</v>
      </c>
      <c r="Y18" s="2001">
        <f t="shared" si="4"/>
        <v>0</v>
      </c>
    </row>
    <row r="19" spans="2:25" ht="15" customHeight="1">
      <c r="B19" s="446" t="s">
        <v>999</v>
      </c>
      <c r="C19" s="446" t="s">
        <v>1124</v>
      </c>
      <c r="D19" s="1998" t="s">
        <v>1140</v>
      </c>
      <c r="E19" s="1998" t="s">
        <v>976</v>
      </c>
      <c r="F19" s="1999">
        <v>-0.13950000000000001</v>
      </c>
      <c r="G19" s="1999">
        <v>0.128</v>
      </c>
      <c r="H19" s="2000"/>
      <c r="I19" s="2000"/>
      <c r="K19" s="446" t="s">
        <v>999</v>
      </c>
      <c r="L19" s="446" t="s">
        <v>1141</v>
      </c>
      <c r="M19" s="1998" t="s">
        <v>1142</v>
      </c>
      <c r="N19" s="1998" t="s">
        <v>976</v>
      </c>
      <c r="O19" s="1999">
        <v>4.05</v>
      </c>
      <c r="P19" s="2001">
        <v>4.2749999999999995</v>
      </c>
      <c r="Q19" s="2000"/>
      <c r="R19" s="2000"/>
      <c r="T19" s="446" t="s">
        <v>999</v>
      </c>
      <c r="U19" s="446" t="str">
        <f t="shared" si="0"/>
        <v>RCV</v>
      </c>
      <c r="V19" s="2001">
        <f>F19 + O18 + O19 + O20</f>
        <v>3.9104999999999999</v>
      </c>
      <c r="W19" s="1999">
        <f>G19 + P18 + P19 + P20</f>
        <v>6.0589999999999993</v>
      </c>
      <c r="X19" s="1999">
        <f t="shared" ref="X19:Y19" si="5">H19 + Q18 + Q19 + Q20</f>
        <v>0</v>
      </c>
      <c r="Y19" s="1999">
        <f t="shared" si="5"/>
        <v>0</v>
      </c>
    </row>
    <row r="20" spans="2:25" ht="15" customHeight="1">
      <c r="B20" s="446" t="s">
        <v>996</v>
      </c>
      <c r="C20" s="446" t="s">
        <v>1124</v>
      </c>
      <c r="D20" s="1998" t="s">
        <v>1143</v>
      </c>
      <c r="E20" s="1998" t="s">
        <v>1144</v>
      </c>
      <c r="F20" s="1999">
        <v>-0.99679999999999991</v>
      </c>
      <c r="G20" s="1999">
        <v>-1.4595999999999998</v>
      </c>
      <c r="H20" s="2000"/>
      <c r="I20" s="2000"/>
      <c r="K20" s="446" t="s">
        <v>999</v>
      </c>
      <c r="L20" s="446" t="s">
        <v>1145</v>
      </c>
      <c r="M20" s="1998" t="s">
        <v>1146</v>
      </c>
      <c r="N20" s="1998" t="s">
        <v>976</v>
      </c>
      <c r="O20" s="1999">
        <v>0</v>
      </c>
      <c r="P20" s="1999">
        <v>1.6560000000000001</v>
      </c>
      <c r="Q20" s="2000"/>
      <c r="R20" s="2000"/>
      <c r="T20" s="446" t="s">
        <v>996</v>
      </c>
      <c r="U20" s="446" t="str">
        <f t="shared" si="0"/>
        <v xml:space="preserve">Revenue </v>
      </c>
      <c r="V20" s="2001">
        <f>F20 + O21</f>
        <v>-0.99679999999999991</v>
      </c>
      <c r="W20" s="2001">
        <f>G20 + P21</f>
        <v>-1.4595999999999998</v>
      </c>
      <c r="X20" s="2001">
        <f t="shared" ref="X20:Y21" si="6">H20 + Q21</f>
        <v>0</v>
      </c>
      <c r="Y20" s="2001">
        <f t="shared" si="6"/>
        <v>0</v>
      </c>
    </row>
    <row r="21" spans="2:25" ht="15" customHeight="1">
      <c r="B21" s="446" t="s">
        <v>1003</v>
      </c>
      <c r="C21" s="446" t="s">
        <v>1124</v>
      </c>
      <c r="D21" s="1998" t="s">
        <v>1147</v>
      </c>
      <c r="E21" s="1998" t="s">
        <v>964</v>
      </c>
      <c r="F21" s="1999">
        <v>-2.7143999999999999</v>
      </c>
      <c r="G21" s="1999">
        <v>-3.4104000000000001</v>
      </c>
      <c r="H21" s="2000"/>
      <c r="I21" s="2000"/>
      <c r="K21" s="446" t="s">
        <v>996</v>
      </c>
      <c r="L21" s="446" t="s">
        <v>1148</v>
      </c>
      <c r="M21" s="1998" t="s">
        <v>1149</v>
      </c>
      <c r="N21" s="1998" t="s">
        <v>964</v>
      </c>
      <c r="O21" s="1999">
        <v>0</v>
      </c>
      <c r="P21" s="1999">
        <v>0</v>
      </c>
      <c r="Q21" s="2000"/>
      <c r="R21" s="2000"/>
      <c r="T21" s="446" t="s">
        <v>1003</v>
      </c>
      <c r="U21" s="446" t="str">
        <f t="shared" si="0"/>
        <v>Revenue</v>
      </c>
      <c r="V21" s="2001">
        <f>F21 + O22</f>
        <v>-2.7143999999999999</v>
      </c>
      <c r="W21" s="2001">
        <f>G21 + P22</f>
        <v>-3.4104000000000001</v>
      </c>
      <c r="X21" s="2001">
        <f t="shared" si="6"/>
        <v>0</v>
      </c>
      <c r="Y21" s="2001">
        <f t="shared" si="6"/>
        <v>0</v>
      </c>
    </row>
    <row r="22" spans="2:25" ht="15" customHeight="1">
      <c r="B22" s="446" t="s">
        <v>1008</v>
      </c>
      <c r="C22" s="446" t="s">
        <v>1124</v>
      </c>
      <c r="D22" s="1998" t="s">
        <v>1150</v>
      </c>
      <c r="E22" s="1998" t="s">
        <v>964</v>
      </c>
      <c r="F22" s="1999">
        <v>-1.7424000000000002</v>
      </c>
      <c r="G22" s="1999">
        <v>-2.2968000000000002</v>
      </c>
      <c r="H22" s="2000"/>
      <c r="I22" s="2000"/>
      <c r="K22" s="446" t="s">
        <v>1003</v>
      </c>
      <c r="L22" s="446" t="s">
        <v>1151</v>
      </c>
      <c r="M22" s="1998" t="s">
        <v>1152</v>
      </c>
      <c r="N22" s="1998" t="s">
        <v>964</v>
      </c>
      <c r="O22" s="1999">
        <v>0</v>
      </c>
      <c r="P22" s="1999">
        <v>0</v>
      </c>
      <c r="Q22" s="2000"/>
      <c r="R22" s="2000"/>
      <c r="T22" s="446" t="s">
        <v>1008</v>
      </c>
      <c r="U22" s="446" t="str">
        <f t="shared" si="0"/>
        <v>Revenue</v>
      </c>
      <c r="V22" s="2001">
        <f>F22 + O23 + O24 + O25</f>
        <v>-1.7424000000000002</v>
      </c>
      <c r="W22" s="2001">
        <f>G22 + P23 + P24 + P25</f>
        <v>-2.4456180000000001</v>
      </c>
      <c r="X22" s="2001">
        <f t="shared" ref="X22:Y22" si="7">H22 + Q23 + Q24 + Q25</f>
        <v>0</v>
      </c>
      <c r="Y22" s="2001">
        <f t="shared" si="7"/>
        <v>0</v>
      </c>
    </row>
    <row r="23" spans="2:25" ht="15" customHeight="1">
      <c r="B23" s="446" t="s">
        <v>1012</v>
      </c>
      <c r="C23" s="446" t="s">
        <v>1124</v>
      </c>
      <c r="D23" s="1998" t="s">
        <v>1153</v>
      </c>
      <c r="E23" s="1998" t="s">
        <v>964</v>
      </c>
      <c r="F23" s="1999">
        <v>-0.70200000000000007</v>
      </c>
      <c r="G23" s="1999">
        <v>-0.97500000000000009</v>
      </c>
      <c r="H23" s="2000"/>
      <c r="I23" s="2000"/>
      <c r="K23" s="446" t="s">
        <v>1008</v>
      </c>
      <c r="L23" s="446" t="s">
        <v>1154</v>
      </c>
      <c r="M23" s="1998" t="s">
        <v>1155</v>
      </c>
      <c r="N23" s="1998" t="s">
        <v>964</v>
      </c>
      <c r="O23" s="1999">
        <v>0</v>
      </c>
      <c r="P23" s="1999">
        <v>0</v>
      </c>
      <c r="Q23" s="2000"/>
      <c r="R23" s="2000"/>
      <c r="T23" s="446" t="s">
        <v>1012</v>
      </c>
      <c r="U23" s="446" t="str">
        <f t="shared" si="0"/>
        <v>Revenue</v>
      </c>
      <c r="V23" s="2001">
        <f t="shared" ref="V23:W27" si="8">F23</f>
        <v>-0.70200000000000007</v>
      </c>
      <c r="W23" s="2001">
        <f t="shared" si="8"/>
        <v>-0.97500000000000009</v>
      </c>
      <c r="X23" s="2001">
        <f t="shared" ref="X23:Y27" si="9">H23</f>
        <v>0</v>
      </c>
      <c r="Y23" s="2001">
        <f t="shared" si="9"/>
        <v>0</v>
      </c>
    </row>
    <row r="24" spans="2:25" ht="15" customHeight="1">
      <c r="B24" s="446" t="s">
        <v>1015</v>
      </c>
      <c r="C24" s="446" t="s">
        <v>1124</v>
      </c>
      <c r="D24" s="1998" t="s">
        <v>1156</v>
      </c>
      <c r="E24" s="1998" t="s">
        <v>964</v>
      </c>
      <c r="F24" s="1999">
        <v>-1.6428</v>
      </c>
      <c r="G24" s="1999">
        <v>-2.5752000000000002</v>
      </c>
      <c r="H24" s="2000"/>
      <c r="I24" s="2000"/>
      <c r="K24" s="446" t="s">
        <v>1008</v>
      </c>
      <c r="L24" s="446" t="s">
        <v>1157</v>
      </c>
      <c r="M24" s="1998" t="s">
        <v>1158</v>
      </c>
      <c r="N24" s="1998" t="s">
        <v>964</v>
      </c>
      <c r="O24" s="1999">
        <v>0</v>
      </c>
      <c r="P24" s="1999">
        <v>-0.14881800000000001</v>
      </c>
      <c r="Q24" s="2000"/>
      <c r="R24" s="2000"/>
      <c r="T24" s="446" t="s">
        <v>1015</v>
      </c>
      <c r="U24" s="446" t="str">
        <f t="shared" si="0"/>
        <v>Revenue</v>
      </c>
      <c r="V24" s="1999">
        <f t="shared" si="8"/>
        <v>-1.6428</v>
      </c>
      <c r="W24" s="2001">
        <f t="shared" si="8"/>
        <v>-2.5752000000000002</v>
      </c>
      <c r="X24" s="2001">
        <f t="shared" si="9"/>
        <v>0</v>
      </c>
      <c r="Y24" s="2001">
        <f t="shared" si="9"/>
        <v>0</v>
      </c>
    </row>
    <row r="25" spans="2:25" ht="15" customHeight="1">
      <c r="B25" s="446" t="s">
        <v>1018</v>
      </c>
      <c r="C25" s="446" t="s">
        <v>1124</v>
      </c>
      <c r="D25" s="1998" t="s">
        <v>1159</v>
      </c>
      <c r="E25" s="1998" t="s">
        <v>964</v>
      </c>
      <c r="F25" s="1999">
        <v>-2.6877</v>
      </c>
      <c r="G25" s="1999">
        <v>-4.0459999999999994</v>
      </c>
      <c r="H25" s="2000"/>
      <c r="I25" s="2000"/>
      <c r="K25" s="446" t="s">
        <v>1008</v>
      </c>
      <c r="L25" s="446" t="s">
        <v>1160</v>
      </c>
      <c r="M25" s="1998" t="s">
        <v>1161</v>
      </c>
      <c r="N25" s="1998" t="s">
        <v>964</v>
      </c>
      <c r="O25" s="1999">
        <v>0</v>
      </c>
      <c r="P25" s="1999">
        <v>0</v>
      </c>
      <c r="Q25" s="2000"/>
      <c r="R25" s="2000"/>
      <c r="T25" s="446" t="s">
        <v>1018</v>
      </c>
      <c r="U25" s="446" t="str">
        <f t="shared" si="0"/>
        <v>Revenue</v>
      </c>
      <c r="V25" s="2001">
        <f t="shared" si="8"/>
        <v>-2.6877</v>
      </c>
      <c r="W25" s="2001">
        <f t="shared" si="8"/>
        <v>-4.0459999999999994</v>
      </c>
      <c r="X25" s="2001">
        <f t="shared" si="9"/>
        <v>0</v>
      </c>
      <c r="Y25" s="2001">
        <f t="shared" si="9"/>
        <v>0</v>
      </c>
    </row>
    <row r="26" spans="2:25" ht="15" customHeight="1">
      <c r="B26" s="446" t="s">
        <v>1022</v>
      </c>
      <c r="C26" s="446" t="s">
        <v>1124</v>
      </c>
      <c r="D26" s="1998" t="s">
        <v>1162</v>
      </c>
      <c r="E26" s="1998" t="s">
        <v>964</v>
      </c>
      <c r="F26" s="1999">
        <v>-0.17699999999999999</v>
      </c>
      <c r="G26" s="1999">
        <v>-0.27299999999999996</v>
      </c>
      <c r="H26" s="2000"/>
      <c r="I26" s="2000"/>
      <c r="K26" s="446" t="s">
        <v>1033</v>
      </c>
      <c r="L26" s="446" t="s">
        <v>1163</v>
      </c>
      <c r="M26" s="1998" t="s">
        <v>1164</v>
      </c>
      <c r="N26" s="1998" t="s">
        <v>964</v>
      </c>
      <c r="O26" s="1999">
        <v>-0.83750000000000002</v>
      </c>
      <c r="P26" s="1999">
        <v>-0.7169000000000002</v>
      </c>
      <c r="Q26" s="2000"/>
      <c r="R26" s="2000"/>
      <c r="T26" s="446" t="s">
        <v>1022</v>
      </c>
      <c r="U26" s="446" t="str">
        <f t="shared" si="0"/>
        <v>Revenue</v>
      </c>
      <c r="V26" s="2001">
        <f t="shared" si="8"/>
        <v>-0.17699999999999999</v>
      </c>
      <c r="W26" s="2001">
        <f t="shared" si="8"/>
        <v>-0.27299999999999996</v>
      </c>
      <c r="X26" s="2001">
        <f t="shared" si="9"/>
        <v>0</v>
      </c>
      <c r="Y26" s="2001">
        <f t="shared" si="9"/>
        <v>0</v>
      </c>
    </row>
    <row r="27" spans="2:25" ht="15" customHeight="1">
      <c r="B27" s="446" t="s">
        <v>1026</v>
      </c>
      <c r="C27" s="446" t="s">
        <v>1124</v>
      </c>
      <c r="D27" s="1998" t="s">
        <v>1165</v>
      </c>
      <c r="E27" s="1998" t="s">
        <v>964</v>
      </c>
      <c r="F27" s="1999">
        <v>-0.32340000000000002</v>
      </c>
      <c r="G27" s="1999">
        <v>-0.48180000000000001</v>
      </c>
      <c r="H27" s="2000"/>
      <c r="I27" s="2000"/>
      <c r="T27" s="446" t="s">
        <v>1026</v>
      </c>
      <c r="U27" s="446" t="str">
        <f t="shared" si="0"/>
        <v>Revenue</v>
      </c>
      <c r="V27" s="2001">
        <f t="shared" si="8"/>
        <v>-0.32340000000000002</v>
      </c>
      <c r="W27" s="2001">
        <f t="shared" si="8"/>
        <v>-0.48180000000000001</v>
      </c>
      <c r="X27" s="2001">
        <f t="shared" si="9"/>
        <v>0</v>
      </c>
      <c r="Y27" s="2001">
        <f t="shared" si="9"/>
        <v>0</v>
      </c>
    </row>
    <row r="28" spans="2:25" ht="15" customHeight="1">
      <c r="B28" s="446" t="s">
        <v>1033</v>
      </c>
      <c r="C28" s="446" t="s">
        <v>1124</v>
      </c>
      <c r="D28" s="1998" t="s">
        <v>1166</v>
      </c>
      <c r="E28" s="1998" t="s">
        <v>964</v>
      </c>
      <c r="F28" s="1999">
        <v>-1.2240000000000002</v>
      </c>
      <c r="G28" s="1999">
        <v>-2.1896000000000004</v>
      </c>
      <c r="H28" s="2000"/>
      <c r="I28" s="2000"/>
      <c r="O28" s="561"/>
      <c r="P28" s="561"/>
      <c r="Q28" s="561"/>
      <c r="R28" s="561"/>
      <c r="T28" s="446" t="s">
        <v>1033</v>
      </c>
      <c r="U28" s="446" t="str">
        <f t="shared" si="0"/>
        <v>Revenue</v>
      </c>
      <c r="V28" s="2001">
        <f>F28 + O26</f>
        <v>-2.0615000000000001</v>
      </c>
      <c r="W28" s="1999">
        <f>G28 + P26</f>
        <v>-2.9065000000000007</v>
      </c>
      <c r="X28" s="1999">
        <f t="shared" ref="X28:Y28" si="10">H28 + Q26</f>
        <v>0</v>
      </c>
      <c r="Y28" s="1999">
        <f t="shared" si="10"/>
        <v>0</v>
      </c>
    </row>
    <row r="29" spans="2:25" ht="15" customHeight="1">
      <c r="B29" s="446" t="s">
        <v>1036</v>
      </c>
      <c r="C29" s="446" t="s">
        <v>1167</v>
      </c>
      <c r="D29" s="1998" t="s">
        <v>1168</v>
      </c>
      <c r="E29" s="1998" t="s">
        <v>964</v>
      </c>
      <c r="F29" s="1999">
        <v>-1.3689</v>
      </c>
      <c r="G29" s="1999">
        <v>-2.3491000000000004</v>
      </c>
      <c r="H29" s="2000"/>
      <c r="I29" s="2000"/>
      <c r="T29" s="446" t="s">
        <v>1036</v>
      </c>
      <c r="U29" s="446" t="str">
        <f t="shared" si="0"/>
        <v>Revenue</v>
      </c>
      <c r="V29" s="2001">
        <f>F29 + F30</f>
        <v>-1.5164</v>
      </c>
      <c r="W29" s="2001">
        <f>G29 + G30</f>
        <v>-2.5516000000000005</v>
      </c>
      <c r="X29" s="2001">
        <f t="shared" ref="X29:Y29" si="11">H29 + H30</f>
        <v>0</v>
      </c>
      <c r="Y29" s="2001">
        <f t="shared" si="11"/>
        <v>0</v>
      </c>
    </row>
    <row r="30" spans="2:25" ht="15" customHeight="1">
      <c r="B30" s="446" t="s">
        <v>1036</v>
      </c>
      <c r="C30" s="446" t="s">
        <v>1169</v>
      </c>
      <c r="D30" s="1998" t="s">
        <v>1170</v>
      </c>
      <c r="E30" s="1998" t="s">
        <v>964</v>
      </c>
      <c r="F30" s="1999">
        <v>-0.14750000000000002</v>
      </c>
      <c r="G30" s="1999">
        <v>-0.20250000000000001</v>
      </c>
      <c r="H30" s="2000"/>
      <c r="I30" s="2000"/>
      <c r="T30" s="446" t="s">
        <v>1029</v>
      </c>
      <c r="U30" s="446" t="str">
        <f>$E31</f>
        <v>Revenue</v>
      </c>
      <c r="V30" s="2001">
        <f>F31</f>
        <v>-0.61599999999999999</v>
      </c>
      <c r="W30" s="2001">
        <f>G31</f>
        <v>-0.62479999999999991</v>
      </c>
      <c r="X30" s="2001">
        <f t="shared" ref="X30:Y30" si="12">H31</f>
        <v>0</v>
      </c>
      <c r="Y30" s="2001">
        <f t="shared" si="12"/>
        <v>0</v>
      </c>
    </row>
    <row r="31" spans="2:25" ht="15" customHeight="1">
      <c r="B31" s="446" t="s">
        <v>1029</v>
      </c>
      <c r="C31" s="446" t="s">
        <v>1124</v>
      </c>
      <c r="D31" s="1998" t="s">
        <v>1171</v>
      </c>
      <c r="E31" s="1998" t="s">
        <v>964</v>
      </c>
      <c r="F31" s="1999">
        <v>-0.61599999999999999</v>
      </c>
      <c r="G31" s="1999">
        <v>-0.62479999999999991</v>
      </c>
      <c r="H31" s="2000"/>
      <c r="I31" s="2000"/>
    </row>
    <row r="32" spans="2:25" ht="15" customHeight="1">
      <c r="B32" s="448" t="s">
        <v>1172</v>
      </c>
      <c r="F32" s="2022">
        <f>SUM(F14:F31)</f>
        <v>-20.671299999999999</v>
      </c>
      <c r="G32" s="2022">
        <f>SUM(G14:G31)</f>
        <v>-30.247500000000002</v>
      </c>
      <c r="H32" s="2022">
        <f>SUM(H14:H31)</f>
        <v>-2.5541999999999998</v>
      </c>
      <c r="I32" s="2022">
        <f>SUM(I14:I31)</f>
        <v>-1.9601999999999999</v>
      </c>
      <c r="K32" s="448" t="s">
        <v>1173</v>
      </c>
      <c r="O32" s="2022">
        <f>SUM(O14:O26)</f>
        <v>3.3071649999999999</v>
      </c>
      <c r="P32" s="2022">
        <f>SUM(P14:P26)</f>
        <v>5.9172669999999998</v>
      </c>
      <c r="Q32" s="2022">
        <f>SUM(Q14:Q26)</f>
        <v>0</v>
      </c>
      <c r="R32" s="2022">
        <f>SUM(R14:R26)</f>
        <v>0</v>
      </c>
      <c r="T32" s="448" t="s">
        <v>1174</v>
      </c>
      <c r="V32" s="2022">
        <f>SUM(V14:V30)</f>
        <v>-17.364134999999997</v>
      </c>
      <c r="W32" s="2022">
        <f>SUM(W14:W30)</f>
        <v>-24.330233000000003</v>
      </c>
      <c r="X32" s="2022">
        <f>SUM(X14:X30)</f>
        <v>-2.5541999999999998</v>
      </c>
      <c r="Y32" s="2022">
        <f>SUM(Y14:Y30)</f>
        <v>-1.9601999999999999</v>
      </c>
    </row>
    <row r="33" spans="2:25" s="2003" customFormat="1" ht="15" customHeight="1">
      <c r="B33" s="2002"/>
      <c r="F33" s="2004"/>
      <c r="G33" s="2004"/>
      <c r="H33" s="2004"/>
      <c r="I33" s="2004"/>
      <c r="V33" s="2001"/>
      <c r="W33" s="2001"/>
      <c r="X33" s="2001"/>
      <c r="Y33" s="2001"/>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82"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82" t="s">
        <v>1192</v>
      </c>
    </row>
    <row r="45" spans="2:25" ht="15" customHeight="1">
      <c r="K45" s="446" t="s">
        <v>1193</v>
      </c>
    </row>
    <row r="46" spans="2:25" ht="15" customHeight="1">
      <c r="K46" s="446" t="s">
        <v>1194</v>
      </c>
    </row>
    <row r="47" spans="2:25" ht="15" customHeight="1"/>
    <row r="48" spans="2:25" ht="15" customHeight="1"/>
    <row r="49" spans="1:25" ht="15.5">
      <c r="A49" s="1995"/>
      <c r="B49" s="2020" t="s">
        <v>1195</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1196</v>
      </c>
    </row>
    <row r="52" spans="1:25" ht="15" customHeight="1">
      <c r="B52" s="1367" t="s">
        <v>1197</v>
      </c>
    </row>
    <row r="53" spans="1:25" ht="15" customHeight="1">
      <c r="B53" s="1367" t="s">
        <v>1198</v>
      </c>
    </row>
    <row r="54" spans="1:25" ht="15" customHeight="1">
      <c r="B54" s="1367" t="s">
        <v>1199</v>
      </c>
    </row>
    <row r="55" spans="1:25" ht="15" customHeight="1">
      <c r="B55" s="1367" t="s">
        <v>1200</v>
      </c>
    </row>
    <row r="56" spans="1:25" ht="15" customHeight="1">
      <c r="B56" s="2005"/>
    </row>
    <row r="57" spans="1:25" ht="15" customHeight="1">
      <c r="I57" s="462" t="s">
        <v>1119</v>
      </c>
    </row>
    <row r="58" spans="1:25" ht="26">
      <c r="B58" s="1998"/>
      <c r="C58" s="1998"/>
      <c r="F58" s="2023" t="s">
        <v>968</v>
      </c>
      <c r="G58" s="1937" t="s">
        <v>980</v>
      </c>
      <c r="H58" s="1937" t="s">
        <v>985</v>
      </c>
      <c r="I58" s="2043" t="s">
        <v>1120</v>
      </c>
    </row>
    <row r="59" spans="1:25" ht="15" customHeight="1">
      <c r="B59" s="2028" t="s">
        <v>971</v>
      </c>
      <c r="C59" s="1998"/>
      <c r="F59" s="2023" t="s">
        <v>141</v>
      </c>
      <c r="G59" s="1937" t="s">
        <v>141</v>
      </c>
      <c r="H59" s="1937" t="s">
        <v>141</v>
      </c>
      <c r="I59" s="1937" t="s">
        <v>141</v>
      </c>
    </row>
    <row r="60" spans="1:25" ht="15" customHeight="1">
      <c r="B60" s="1998" t="s">
        <v>972</v>
      </c>
      <c r="C60" s="1998" t="s">
        <v>1201</v>
      </c>
      <c r="F60" s="1999">
        <v>0</v>
      </c>
      <c r="G60" s="2001">
        <v>0</v>
      </c>
      <c r="H60" s="2007"/>
      <c r="I60" s="2007"/>
      <c r="J60" s="1942"/>
      <c r="K60" s="1942"/>
    </row>
    <row r="61" spans="1:25" ht="15" customHeight="1">
      <c r="B61" s="1998" t="s">
        <v>972</v>
      </c>
      <c r="C61" s="1998" t="s">
        <v>1202</v>
      </c>
      <c r="F61" s="1999">
        <v>-1.9074</v>
      </c>
      <c r="G61" s="2001">
        <v>-2.7302</v>
      </c>
      <c r="H61" s="2007"/>
      <c r="I61" s="2007"/>
      <c r="J61" s="1942"/>
      <c r="K61" s="1942"/>
    </row>
    <row r="62" spans="1:25" ht="15" customHeight="1">
      <c r="B62" s="1998" t="s">
        <v>972</v>
      </c>
      <c r="C62" s="1998" t="s">
        <v>1203</v>
      </c>
      <c r="F62" s="1999">
        <v>0</v>
      </c>
      <c r="G62" s="2001">
        <v>0</v>
      </c>
      <c r="H62" s="2007"/>
      <c r="I62" s="2007"/>
      <c r="J62" s="1942"/>
      <c r="K62" s="1942"/>
    </row>
    <row r="63" spans="1:25" ht="15" customHeight="1">
      <c r="B63" s="1998" t="s">
        <v>972</v>
      </c>
      <c r="C63" s="1998" t="s">
        <v>1204</v>
      </c>
      <c r="F63" s="1999">
        <v>0</v>
      </c>
      <c r="G63" s="2001">
        <v>0</v>
      </c>
      <c r="H63" s="2007"/>
      <c r="I63" s="2007"/>
      <c r="J63" s="1942"/>
      <c r="K63" s="1942"/>
    </row>
    <row r="64" spans="1:25" ht="15" customHeight="1">
      <c r="B64" s="1998" t="s">
        <v>972</v>
      </c>
      <c r="C64" s="1998" t="s">
        <v>1205</v>
      </c>
      <c r="F64" s="1999">
        <v>0</v>
      </c>
      <c r="G64" s="2001">
        <v>0</v>
      </c>
      <c r="H64" s="2007"/>
      <c r="I64" s="2007"/>
      <c r="J64" s="1942"/>
      <c r="K64" s="1942"/>
    </row>
    <row r="65" spans="2:11" ht="15" customHeight="1">
      <c r="B65" s="1998" t="s">
        <v>972</v>
      </c>
      <c r="C65" s="1998" t="s">
        <v>1206</v>
      </c>
      <c r="F65" s="1999">
        <v>0</v>
      </c>
      <c r="G65" s="2001">
        <v>0</v>
      </c>
      <c r="H65" s="2007"/>
      <c r="I65" s="2007"/>
      <c r="J65" s="1942"/>
      <c r="K65" s="1942"/>
    </row>
    <row r="66" spans="2:11" ht="15" customHeight="1">
      <c r="B66" s="2008" t="s">
        <v>972</v>
      </c>
      <c r="C66" s="2008" t="s">
        <v>1207</v>
      </c>
      <c r="D66" s="2009"/>
      <c r="E66" s="2009"/>
      <c r="F66" s="2010">
        <v>0</v>
      </c>
      <c r="G66" s="2011">
        <v>0</v>
      </c>
      <c r="H66" s="2012"/>
      <c r="I66" s="2012"/>
      <c r="J66" s="1942"/>
      <c r="K66" s="1942"/>
    </row>
    <row r="67" spans="2:11" ht="15" customHeight="1">
      <c r="B67" s="1998" t="s">
        <v>972</v>
      </c>
      <c r="C67" s="1998" t="s">
        <v>1208</v>
      </c>
      <c r="F67" s="1999">
        <v>0</v>
      </c>
      <c r="G67" s="2001">
        <v>0</v>
      </c>
      <c r="H67" s="2007"/>
      <c r="I67" s="2007"/>
      <c r="J67" s="1942"/>
      <c r="K67" s="1942"/>
    </row>
    <row r="68" spans="2:11" ht="15" customHeight="1">
      <c r="B68" s="1998" t="s">
        <v>972</v>
      </c>
      <c r="C68" s="1998" t="s">
        <v>1209</v>
      </c>
      <c r="F68" s="1999">
        <v>0</v>
      </c>
      <c r="G68" s="2001">
        <v>0</v>
      </c>
      <c r="H68" s="2007"/>
      <c r="I68" s="2007"/>
      <c r="J68" s="1942"/>
      <c r="K68" s="1942"/>
    </row>
    <row r="69" spans="2:11" ht="15" customHeight="1">
      <c r="B69" s="1998" t="s">
        <v>972</v>
      </c>
      <c r="C69" s="1998" t="s">
        <v>1210</v>
      </c>
      <c r="F69" s="1999">
        <v>0</v>
      </c>
      <c r="G69" s="2001">
        <v>0</v>
      </c>
      <c r="H69" s="2007"/>
      <c r="I69" s="2007"/>
      <c r="J69" s="1942"/>
      <c r="K69" s="1942"/>
    </row>
    <row r="70" spans="2:11" ht="15" customHeight="1">
      <c r="B70" s="1998" t="s">
        <v>972</v>
      </c>
      <c r="C70" s="1998" t="s">
        <v>1211</v>
      </c>
      <c r="F70" s="1999">
        <v>0</v>
      </c>
      <c r="G70" s="2001">
        <v>0</v>
      </c>
      <c r="H70" s="2007"/>
      <c r="I70" s="2007"/>
      <c r="J70" s="1942"/>
      <c r="K70" s="1942"/>
    </row>
    <row r="71" spans="2:11" ht="15" customHeight="1">
      <c r="B71" s="1998" t="s">
        <v>972</v>
      </c>
      <c r="C71" s="1998" t="s">
        <v>1212</v>
      </c>
      <c r="F71" s="1999">
        <v>0</v>
      </c>
      <c r="G71" s="2001">
        <v>0</v>
      </c>
      <c r="H71" s="2007"/>
      <c r="I71" s="2007"/>
      <c r="J71" s="1942"/>
      <c r="K71" s="1942"/>
    </row>
    <row r="72" spans="2:11" ht="15" customHeight="1">
      <c r="B72" s="1998" t="s">
        <v>972</v>
      </c>
      <c r="C72" s="1998" t="s">
        <v>1213</v>
      </c>
      <c r="F72" s="1999">
        <v>0</v>
      </c>
      <c r="G72" s="2001">
        <v>0</v>
      </c>
      <c r="H72" s="2007"/>
      <c r="I72" s="2007"/>
      <c r="J72" s="1942"/>
      <c r="K72" s="1942"/>
    </row>
    <row r="73" spans="2:11" ht="15" customHeight="1">
      <c r="B73" s="1998" t="s">
        <v>972</v>
      </c>
      <c r="C73" s="1998" t="s">
        <v>1214</v>
      </c>
      <c r="F73" s="1999">
        <v>0</v>
      </c>
      <c r="G73" s="2001">
        <v>0</v>
      </c>
      <c r="H73" s="2007"/>
      <c r="I73" s="2007"/>
      <c r="J73" s="1942"/>
      <c r="K73" s="1942"/>
    </row>
    <row r="74" spans="2:11" ht="15" customHeight="1">
      <c r="B74" s="1998" t="s">
        <v>972</v>
      </c>
      <c r="C74" s="1998" t="s">
        <v>1215</v>
      </c>
      <c r="F74" s="1999">
        <f>SUM(F60:F66)</f>
        <v>-1.9074</v>
      </c>
      <c r="G74" s="2001">
        <f>SUM(G60:G66)</f>
        <v>-2.7302</v>
      </c>
      <c r="H74" s="2001">
        <f>SUM(H60:H66)</f>
        <v>0</v>
      </c>
      <c r="I74" s="2001">
        <f>SUM(I60:I66)</f>
        <v>0</v>
      </c>
      <c r="J74" s="595"/>
    </row>
    <row r="75" spans="2:11" ht="15" customHeight="1">
      <c r="B75" s="1998" t="s">
        <v>972</v>
      </c>
      <c r="C75" s="1998" t="s">
        <v>1216</v>
      </c>
      <c r="F75" s="1999">
        <f>SUM(F67:F73)</f>
        <v>0</v>
      </c>
      <c r="G75" s="2001">
        <f>SUM(G67:G73)</f>
        <v>0</v>
      </c>
      <c r="H75" s="2001">
        <f>SUM(H67:H73)</f>
        <v>0</v>
      </c>
      <c r="I75" s="2001">
        <f>SUM(I67:I73)</f>
        <v>0</v>
      </c>
      <c r="J75" s="595"/>
    </row>
    <row r="76" spans="2:11" ht="15" customHeight="1" thickBot="1">
      <c r="B76" s="2013"/>
      <c r="C76" s="2025" t="s">
        <v>1046</v>
      </c>
      <c r="D76" s="2014"/>
      <c r="E76" s="2014"/>
      <c r="F76" s="2026">
        <f>F74+F75</f>
        <v>-1.9074</v>
      </c>
      <c r="G76" s="2027">
        <f>G74+G75</f>
        <v>-2.7302</v>
      </c>
      <c r="H76" s="2027">
        <f>H74+H75</f>
        <v>0</v>
      </c>
      <c r="I76" s="2027">
        <f>I74+I75</f>
        <v>0</v>
      </c>
      <c r="J76" s="595"/>
    </row>
    <row r="77" spans="2:11" ht="15" customHeight="1" thickTop="1">
      <c r="B77" s="2015"/>
      <c r="C77" s="2016" t="s">
        <v>1217</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1218</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1119</v>
      </c>
    </row>
    <row r="81" spans="2:9" ht="26">
      <c r="B81" s="1998"/>
      <c r="C81" s="1998"/>
      <c r="F81" s="2023" t="s">
        <v>968</v>
      </c>
      <c r="G81" s="1937" t="s">
        <v>980</v>
      </c>
      <c r="H81" s="1937" t="s">
        <v>985</v>
      </c>
      <c r="I81" s="2043" t="s">
        <v>1120</v>
      </c>
    </row>
    <row r="82" spans="2:9" ht="15" customHeight="1">
      <c r="B82" s="2028" t="s">
        <v>981</v>
      </c>
      <c r="C82" s="1998"/>
      <c r="F82" s="2023" t="s">
        <v>141</v>
      </c>
      <c r="G82" s="1937" t="s">
        <v>141</v>
      </c>
      <c r="H82" s="1937" t="s">
        <v>141</v>
      </c>
      <c r="I82" s="1937" t="s">
        <v>141</v>
      </c>
    </row>
    <row r="83" spans="2:9" ht="15" customHeight="1">
      <c r="B83" s="1998" t="s">
        <v>982</v>
      </c>
      <c r="C83" s="1998" t="s">
        <v>1201</v>
      </c>
      <c r="F83" s="1999">
        <v>2.7452850000000001E-2</v>
      </c>
      <c r="G83" s="2001">
        <v>0.24707565000000001</v>
      </c>
      <c r="H83" s="2007"/>
      <c r="I83" s="2007"/>
    </row>
    <row r="84" spans="2:9" ht="15" customHeight="1">
      <c r="B84" s="1998" t="s">
        <v>982</v>
      </c>
      <c r="C84" s="1998" t="s">
        <v>1202</v>
      </c>
      <c r="F84" s="1999">
        <v>-1.3095000000000001</v>
      </c>
      <c r="G84" s="2001">
        <v>-2.2814999999999999</v>
      </c>
      <c r="H84" s="2007"/>
      <c r="I84" s="2007"/>
    </row>
    <row r="85" spans="2:9" ht="15" customHeight="1">
      <c r="B85" s="1998" t="s">
        <v>982</v>
      </c>
      <c r="C85" s="1998" t="s">
        <v>1203</v>
      </c>
      <c r="F85" s="1999">
        <v>6.7212149999999998E-2</v>
      </c>
      <c r="G85" s="2001">
        <v>0.60490935000000001</v>
      </c>
      <c r="H85" s="2007"/>
      <c r="I85" s="2007"/>
    </row>
    <row r="86" spans="2:9" ht="15" customHeight="1">
      <c r="B86" s="1998" t="s">
        <v>982</v>
      </c>
      <c r="C86" s="1998" t="s">
        <v>1204</v>
      </c>
      <c r="F86" s="1999">
        <v>0</v>
      </c>
      <c r="G86" s="2001">
        <v>0</v>
      </c>
      <c r="H86" s="2007"/>
      <c r="I86" s="2007"/>
    </row>
    <row r="87" spans="2:9" ht="15" customHeight="1">
      <c r="B87" s="1998" t="s">
        <v>982</v>
      </c>
      <c r="C87" s="1998" t="s">
        <v>1205</v>
      </c>
      <c r="F87" s="1999">
        <v>0</v>
      </c>
      <c r="G87" s="2001">
        <v>0</v>
      </c>
      <c r="H87" s="2007"/>
      <c r="I87" s="2007"/>
    </row>
    <row r="88" spans="2:9" ht="15" customHeight="1">
      <c r="B88" s="1998" t="s">
        <v>982</v>
      </c>
      <c r="C88" s="1998" t="s">
        <v>1206</v>
      </c>
      <c r="F88" s="1999">
        <v>0</v>
      </c>
      <c r="G88" s="2001">
        <v>0</v>
      </c>
      <c r="H88" s="2007"/>
      <c r="I88" s="2007"/>
    </row>
    <row r="89" spans="2:9" ht="15" customHeight="1">
      <c r="B89" s="2008" t="s">
        <v>982</v>
      </c>
      <c r="C89" s="2008" t="s">
        <v>1207</v>
      </c>
      <c r="D89" s="2009"/>
      <c r="E89" s="2009"/>
      <c r="F89" s="2010">
        <v>0</v>
      </c>
      <c r="G89" s="2011">
        <v>0</v>
      </c>
      <c r="H89" s="2012"/>
      <c r="I89" s="2012"/>
    </row>
    <row r="90" spans="2:9" ht="15" customHeight="1">
      <c r="B90" s="1998" t="s">
        <v>982</v>
      </c>
      <c r="C90" s="1998" t="s">
        <v>1208</v>
      </c>
      <c r="F90" s="1999">
        <v>0</v>
      </c>
      <c r="G90" s="2001">
        <v>0</v>
      </c>
      <c r="H90" s="2007"/>
      <c r="I90" s="2007"/>
    </row>
    <row r="91" spans="2:9" ht="15" customHeight="1">
      <c r="B91" s="1998" t="s">
        <v>982</v>
      </c>
      <c r="C91" s="1998" t="s">
        <v>1209</v>
      </c>
      <c r="F91" s="1999">
        <v>0</v>
      </c>
      <c r="G91" s="2001">
        <v>0</v>
      </c>
      <c r="H91" s="2007"/>
      <c r="I91" s="2007"/>
    </row>
    <row r="92" spans="2:9" ht="15" customHeight="1">
      <c r="B92" s="1998" t="s">
        <v>982</v>
      </c>
      <c r="C92" s="1998" t="s">
        <v>1210</v>
      </c>
      <c r="F92" s="1999">
        <v>0</v>
      </c>
      <c r="G92" s="2001">
        <v>0</v>
      </c>
      <c r="H92" s="2007"/>
      <c r="I92" s="2007"/>
    </row>
    <row r="93" spans="2:9" ht="15" customHeight="1">
      <c r="B93" s="1998" t="s">
        <v>982</v>
      </c>
      <c r="C93" s="1998" t="s">
        <v>1211</v>
      </c>
      <c r="F93" s="1999">
        <v>0</v>
      </c>
      <c r="G93" s="2001">
        <v>0</v>
      </c>
      <c r="H93" s="2007"/>
      <c r="I93" s="2007"/>
    </row>
    <row r="94" spans="2:9" ht="15" customHeight="1">
      <c r="B94" s="1998" t="s">
        <v>982</v>
      </c>
      <c r="C94" s="1998" t="s">
        <v>1212</v>
      </c>
      <c r="F94" s="1999">
        <v>0</v>
      </c>
      <c r="G94" s="2001">
        <v>0</v>
      </c>
      <c r="H94" s="2007"/>
      <c r="I94" s="2007"/>
    </row>
    <row r="95" spans="2:9" ht="15" customHeight="1">
      <c r="B95" s="1998" t="s">
        <v>982</v>
      </c>
      <c r="C95" s="1998" t="s">
        <v>1213</v>
      </c>
      <c r="F95" s="1999">
        <v>0</v>
      </c>
      <c r="G95" s="2001">
        <v>0</v>
      </c>
      <c r="H95" s="2007"/>
      <c r="I95" s="2007"/>
    </row>
    <row r="96" spans="2:9" ht="15" customHeight="1">
      <c r="B96" s="1998" t="s">
        <v>982</v>
      </c>
      <c r="C96" s="1998" t="s">
        <v>1214</v>
      </c>
      <c r="F96" s="1999">
        <v>0</v>
      </c>
      <c r="G96" s="2001">
        <v>0</v>
      </c>
      <c r="H96" s="2007"/>
      <c r="I96" s="2007"/>
    </row>
    <row r="97" spans="2:9" ht="15" customHeight="1">
      <c r="B97" s="1998" t="s">
        <v>982</v>
      </c>
      <c r="C97" s="1998" t="s">
        <v>1215</v>
      </c>
      <c r="F97" s="1999">
        <f>SUM(F83:F89)</f>
        <v>-1.2148350000000001</v>
      </c>
      <c r="G97" s="2001">
        <f>SUM(G83:G89)</f>
        <v>-1.4295149999999996</v>
      </c>
      <c r="H97" s="2001">
        <f>SUM(H83:H89)</f>
        <v>0</v>
      </c>
      <c r="I97" s="2001">
        <f>SUM(I83:I89)</f>
        <v>0</v>
      </c>
    </row>
    <row r="98" spans="2:9" ht="15" customHeight="1">
      <c r="B98" s="1998" t="s">
        <v>982</v>
      </c>
      <c r="C98" s="1998" t="s">
        <v>1216</v>
      </c>
      <c r="F98" s="1999">
        <f>SUM(F90:F96)</f>
        <v>0</v>
      </c>
      <c r="G98" s="2001">
        <f>SUM(G90:G96)</f>
        <v>0</v>
      </c>
      <c r="H98" s="2001">
        <f>SUM(H90:H96)</f>
        <v>0</v>
      </c>
      <c r="I98" s="2001">
        <f>SUM(I90:I96)</f>
        <v>0</v>
      </c>
    </row>
    <row r="99" spans="2:9" ht="15" customHeight="1" thickBot="1">
      <c r="B99" s="2013"/>
      <c r="C99" s="2025" t="s">
        <v>1046</v>
      </c>
      <c r="D99" s="2014"/>
      <c r="E99" s="2014"/>
      <c r="F99" s="2026">
        <f>F97+F98</f>
        <v>-1.2148350000000001</v>
      </c>
      <c r="G99" s="2027">
        <f>G97+G98</f>
        <v>-1.4295149999999996</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1218</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1119</v>
      </c>
    </row>
    <row r="104" spans="2:9" ht="26">
      <c r="B104" s="1998"/>
      <c r="C104" s="1998"/>
      <c r="F104" s="2023" t="s">
        <v>968</v>
      </c>
      <c r="G104" s="1937" t="s">
        <v>980</v>
      </c>
      <c r="H104" s="1937" t="s">
        <v>985</v>
      </c>
      <c r="I104" s="2043" t="s">
        <v>1120</v>
      </c>
    </row>
    <row r="105" spans="2:9" ht="15" customHeight="1">
      <c r="B105" s="2028" t="s">
        <v>986</v>
      </c>
      <c r="C105" s="1998"/>
      <c r="F105" s="2023" t="s">
        <v>141</v>
      </c>
      <c r="G105" s="1937" t="s">
        <v>141</v>
      </c>
      <c r="H105" s="1937" t="s">
        <v>141</v>
      </c>
      <c r="I105" s="1937" t="s">
        <v>141</v>
      </c>
    </row>
    <row r="106" spans="2:9" ht="15" customHeight="1">
      <c r="B106" s="1998" t="s">
        <v>969</v>
      </c>
      <c r="C106" s="1998" t="s">
        <v>1201</v>
      </c>
      <c r="F106" s="1999">
        <v>-5.04E-2</v>
      </c>
      <c r="G106" s="2001">
        <v>-7.9799999999999996E-2</v>
      </c>
      <c r="H106" s="2007"/>
      <c r="I106" s="2007"/>
    </row>
    <row r="107" spans="2:9" ht="15" customHeight="1">
      <c r="B107" s="1998" t="s">
        <v>969</v>
      </c>
      <c r="C107" s="1998" t="s">
        <v>1202</v>
      </c>
      <c r="F107" s="1999">
        <v>-5.04E-2</v>
      </c>
      <c r="G107" s="2001">
        <v>-7.9799999999999996E-2</v>
      </c>
      <c r="H107" s="2007"/>
      <c r="I107" s="2007"/>
    </row>
    <row r="108" spans="2:9" ht="15" customHeight="1">
      <c r="B108" s="1998" t="s">
        <v>969</v>
      </c>
      <c r="C108" s="1998" t="s">
        <v>1203</v>
      </c>
      <c r="F108" s="1999">
        <v>0</v>
      </c>
      <c r="G108" s="2001">
        <v>0</v>
      </c>
      <c r="H108" s="2007"/>
      <c r="I108" s="2007"/>
    </row>
    <row r="109" spans="2:9" ht="15" customHeight="1">
      <c r="B109" s="1998" t="s">
        <v>969</v>
      </c>
      <c r="C109" s="1998" t="s">
        <v>1204</v>
      </c>
      <c r="F109" s="1999">
        <v>0</v>
      </c>
      <c r="G109" s="2001">
        <v>0</v>
      </c>
      <c r="H109" s="2007"/>
      <c r="I109" s="2007"/>
    </row>
    <row r="110" spans="2:9" ht="15" customHeight="1">
      <c r="B110" s="1998" t="s">
        <v>969</v>
      </c>
      <c r="C110" s="1998" t="s">
        <v>1205</v>
      </c>
      <c r="F110" s="1999">
        <v>0</v>
      </c>
      <c r="G110" s="2001">
        <v>0</v>
      </c>
      <c r="H110" s="2007"/>
      <c r="I110" s="2007"/>
    </row>
    <row r="111" spans="2:9" ht="15" customHeight="1">
      <c r="B111" s="1998" t="s">
        <v>969</v>
      </c>
      <c r="C111" s="1998" t="s">
        <v>1206</v>
      </c>
      <c r="F111" s="1999">
        <v>0</v>
      </c>
      <c r="G111" s="2001">
        <v>0</v>
      </c>
      <c r="H111" s="2007"/>
      <c r="I111" s="2007"/>
    </row>
    <row r="112" spans="2:9" ht="15" customHeight="1">
      <c r="B112" s="2008" t="s">
        <v>969</v>
      </c>
      <c r="C112" s="2008" t="s">
        <v>1207</v>
      </c>
      <c r="D112" s="2009"/>
      <c r="E112" s="2009"/>
      <c r="F112" s="2010">
        <v>0</v>
      </c>
      <c r="G112" s="2011">
        <v>0</v>
      </c>
      <c r="H112" s="2012"/>
      <c r="I112" s="2012"/>
    </row>
    <row r="113" spans="2:9" ht="15" customHeight="1">
      <c r="B113" s="1998" t="s">
        <v>969</v>
      </c>
      <c r="C113" s="1998" t="s">
        <v>1208</v>
      </c>
      <c r="F113" s="1999">
        <v>0</v>
      </c>
      <c r="G113" s="2001">
        <v>0</v>
      </c>
      <c r="H113" s="2007"/>
      <c r="I113" s="2007"/>
    </row>
    <row r="114" spans="2:9" ht="15" customHeight="1">
      <c r="B114" s="1998" t="s">
        <v>969</v>
      </c>
      <c r="C114" s="1998" t="s">
        <v>1209</v>
      </c>
      <c r="F114" s="1999">
        <v>0</v>
      </c>
      <c r="G114" s="2001">
        <v>0</v>
      </c>
      <c r="H114" s="2007"/>
      <c r="I114" s="2007"/>
    </row>
    <row r="115" spans="2:9" ht="15" customHeight="1">
      <c r="B115" s="1998" t="s">
        <v>969</v>
      </c>
      <c r="C115" s="1998" t="s">
        <v>1210</v>
      </c>
      <c r="F115" s="1999">
        <v>0</v>
      </c>
      <c r="G115" s="2001">
        <v>0</v>
      </c>
      <c r="H115" s="2007"/>
      <c r="I115" s="2007"/>
    </row>
    <row r="116" spans="2:9" ht="15" customHeight="1">
      <c r="B116" s="1998" t="s">
        <v>969</v>
      </c>
      <c r="C116" s="1998" t="s">
        <v>1211</v>
      </c>
      <c r="F116" s="1999">
        <v>0</v>
      </c>
      <c r="G116" s="2001">
        <v>0</v>
      </c>
      <c r="H116" s="2007"/>
      <c r="I116" s="2007"/>
    </row>
    <row r="117" spans="2:9" ht="15" customHeight="1">
      <c r="B117" s="1998" t="s">
        <v>969</v>
      </c>
      <c r="C117" s="1998" t="s">
        <v>1212</v>
      </c>
      <c r="F117" s="1999">
        <v>0</v>
      </c>
      <c r="G117" s="2001">
        <v>0</v>
      </c>
      <c r="H117" s="2007"/>
      <c r="I117" s="2007"/>
    </row>
    <row r="118" spans="2:9" ht="15" customHeight="1">
      <c r="B118" s="1998" t="s">
        <v>969</v>
      </c>
      <c r="C118" s="1998" t="s">
        <v>1213</v>
      </c>
      <c r="F118" s="1999">
        <v>0</v>
      </c>
      <c r="G118" s="2001">
        <v>0</v>
      </c>
      <c r="H118" s="2007"/>
      <c r="I118" s="2007"/>
    </row>
    <row r="119" spans="2:9" ht="15" customHeight="1">
      <c r="B119" s="1998" t="s">
        <v>969</v>
      </c>
      <c r="C119" s="1998" t="s">
        <v>1214</v>
      </c>
      <c r="F119" s="1999">
        <v>0</v>
      </c>
      <c r="G119" s="2001">
        <v>0</v>
      </c>
      <c r="H119" s="2007"/>
      <c r="I119" s="2007"/>
    </row>
    <row r="120" spans="2:9" ht="15" customHeight="1">
      <c r="B120" s="1998" t="s">
        <v>969</v>
      </c>
      <c r="C120" s="1998" t="s">
        <v>1215</v>
      </c>
      <c r="F120" s="1999">
        <f>SUM(F106:F112)</f>
        <v>-0.1008</v>
      </c>
      <c r="G120" s="2001">
        <f>SUM(G106:G112)</f>
        <v>-0.15959999999999999</v>
      </c>
      <c r="H120" s="2001">
        <f>SUM(H106:H112)</f>
        <v>0</v>
      </c>
      <c r="I120" s="2001">
        <f>SUM(I106:I112)</f>
        <v>0</v>
      </c>
    </row>
    <row r="121" spans="2:9" ht="15" customHeight="1">
      <c r="B121" s="1998" t="s">
        <v>969</v>
      </c>
      <c r="C121" s="1998" t="s">
        <v>1216</v>
      </c>
      <c r="F121" s="1999">
        <f>SUM(F113:F119)</f>
        <v>0</v>
      </c>
      <c r="G121" s="2001">
        <f>SUM(G113:G119)</f>
        <v>0</v>
      </c>
      <c r="H121" s="2001">
        <f>SUM(H113:H119)</f>
        <v>0</v>
      </c>
      <c r="I121" s="2001">
        <f>SUM(I113:I119)</f>
        <v>0</v>
      </c>
    </row>
    <row r="122" spans="2:9" ht="15" customHeight="1" thickBot="1">
      <c r="B122" s="2013"/>
      <c r="C122" s="2025" t="s">
        <v>1046</v>
      </c>
      <c r="D122" s="2014"/>
      <c r="E122" s="2014"/>
      <c r="F122" s="2026">
        <f>F120+F121</f>
        <v>-0.1008</v>
      </c>
      <c r="G122" s="2026">
        <f>G120+G121</f>
        <v>-0.15959999999999999</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1218</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1119</v>
      </c>
    </row>
    <row r="127" spans="2:9" ht="26">
      <c r="B127" s="1998"/>
      <c r="C127" s="1998"/>
      <c r="F127" s="2023" t="s">
        <v>968</v>
      </c>
      <c r="G127" s="1937" t="s">
        <v>980</v>
      </c>
      <c r="H127" s="1937" t="s">
        <v>985</v>
      </c>
      <c r="I127" s="2043" t="s">
        <v>1120</v>
      </c>
    </row>
    <row r="128" spans="2:9" ht="15" customHeight="1">
      <c r="B128" s="2028" t="s">
        <v>989</v>
      </c>
      <c r="C128" s="1998"/>
      <c r="F128" s="2023" t="s">
        <v>141</v>
      </c>
      <c r="G128" s="1937" t="s">
        <v>141</v>
      </c>
      <c r="H128" s="1937" t="s">
        <v>141</v>
      </c>
      <c r="I128" s="1937" t="s">
        <v>141</v>
      </c>
    </row>
    <row r="129" spans="2:9" ht="15" customHeight="1">
      <c r="B129" s="1998" t="s">
        <v>990</v>
      </c>
      <c r="C129" s="1998" t="s">
        <v>1201</v>
      </c>
      <c r="F129" s="1999">
        <v>0</v>
      </c>
      <c r="G129" s="2001">
        <v>0</v>
      </c>
      <c r="H129" s="2007"/>
      <c r="I129" s="2007"/>
    </row>
    <row r="130" spans="2:9" ht="15" customHeight="1">
      <c r="B130" s="1998" t="s">
        <v>990</v>
      </c>
      <c r="C130" s="1998" t="s">
        <v>1202</v>
      </c>
      <c r="F130" s="1999">
        <v>-1.3662000000000001</v>
      </c>
      <c r="G130" s="2001">
        <v>-1.9403999999999999</v>
      </c>
      <c r="H130" s="2007">
        <v>-2.5541999999999998</v>
      </c>
      <c r="I130" s="2007">
        <f>I17</f>
        <v>-1.9601999999999999</v>
      </c>
    </row>
    <row r="131" spans="2:9" ht="15" customHeight="1">
      <c r="B131" s="1998" t="s">
        <v>990</v>
      </c>
      <c r="C131" s="1998" t="s">
        <v>1203</v>
      </c>
      <c r="F131" s="1999">
        <v>0</v>
      </c>
      <c r="G131" s="2001">
        <v>0</v>
      </c>
      <c r="H131" s="2007"/>
      <c r="I131" s="2007"/>
    </row>
    <row r="132" spans="2:9" ht="15" customHeight="1">
      <c r="B132" s="1998" t="s">
        <v>990</v>
      </c>
      <c r="C132" s="1998" t="s">
        <v>1204</v>
      </c>
      <c r="F132" s="1999">
        <v>0</v>
      </c>
      <c r="G132" s="2001">
        <v>0</v>
      </c>
      <c r="H132" s="2007"/>
      <c r="I132" s="2007"/>
    </row>
    <row r="133" spans="2:9" ht="15" customHeight="1">
      <c r="B133" s="1998" t="s">
        <v>990</v>
      </c>
      <c r="C133" s="1998" t="s">
        <v>1205</v>
      </c>
      <c r="F133" s="1999">
        <v>0</v>
      </c>
      <c r="G133" s="2001">
        <v>0</v>
      </c>
      <c r="H133" s="2007"/>
      <c r="I133" s="2007"/>
    </row>
    <row r="134" spans="2:9" ht="15" customHeight="1">
      <c r="B134" s="1998" t="s">
        <v>990</v>
      </c>
      <c r="C134" s="1998" t="s">
        <v>1206</v>
      </c>
      <c r="F134" s="1999">
        <v>0</v>
      </c>
      <c r="G134" s="2001">
        <v>0</v>
      </c>
      <c r="H134" s="2007"/>
      <c r="I134" s="2007"/>
    </row>
    <row r="135" spans="2:9" ht="15" customHeight="1">
      <c r="B135" s="2008" t="s">
        <v>990</v>
      </c>
      <c r="C135" s="2008" t="s">
        <v>1207</v>
      </c>
      <c r="D135" s="2009"/>
      <c r="E135" s="2009"/>
      <c r="F135" s="2010">
        <v>0</v>
      </c>
      <c r="G135" s="2011">
        <v>0</v>
      </c>
      <c r="H135" s="2012"/>
      <c r="I135" s="2012"/>
    </row>
    <row r="136" spans="2:9" ht="15" customHeight="1">
      <c r="B136" s="1998" t="s">
        <v>990</v>
      </c>
      <c r="C136" s="1998" t="s">
        <v>1208</v>
      </c>
      <c r="F136" s="1999">
        <v>0</v>
      </c>
      <c r="G136" s="2001">
        <v>0</v>
      </c>
      <c r="H136" s="2007"/>
      <c r="I136" s="2007"/>
    </row>
    <row r="137" spans="2:9" ht="15" customHeight="1">
      <c r="B137" s="1998" t="s">
        <v>990</v>
      </c>
      <c r="C137" s="1998" t="s">
        <v>1209</v>
      </c>
      <c r="F137" s="1999">
        <v>0</v>
      </c>
      <c r="G137" s="2001">
        <v>0</v>
      </c>
      <c r="H137" s="2007"/>
      <c r="I137" s="2007"/>
    </row>
    <row r="138" spans="2:9" ht="15" customHeight="1">
      <c r="B138" s="1998" t="s">
        <v>990</v>
      </c>
      <c r="C138" s="1998" t="s">
        <v>1210</v>
      </c>
      <c r="F138" s="1999">
        <v>0</v>
      </c>
      <c r="G138" s="2001">
        <v>0</v>
      </c>
      <c r="H138" s="2007"/>
      <c r="I138" s="2007"/>
    </row>
    <row r="139" spans="2:9" ht="15" customHeight="1">
      <c r="B139" s="1998" t="s">
        <v>990</v>
      </c>
      <c r="C139" s="1998" t="s">
        <v>1211</v>
      </c>
      <c r="F139" s="1999">
        <v>0</v>
      </c>
      <c r="G139" s="2001">
        <v>0</v>
      </c>
      <c r="H139" s="2007"/>
      <c r="I139" s="2007"/>
    </row>
    <row r="140" spans="2:9" ht="15" customHeight="1">
      <c r="B140" s="1998" t="s">
        <v>990</v>
      </c>
      <c r="C140" s="1998" t="s">
        <v>1212</v>
      </c>
      <c r="F140" s="1999">
        <v>0</v>
      </c>
      <c r="G140" s="2001">
        <v>0</v>
      </c>
      <c r="H140" s="2007"/>
      <c r="I140" s="2007"/>
    </row>
    <row r="141" spans="2:9" ht="15" customHeight="1">
      <c r="B141" s="1998" t="s">
        <v>990</v>
      </c>
      <c r="C141" s="1998" t="s">
        <v>1213</v>
      </c>
      <c r="F141" s="1999">
        <v>0</v>
      </c>
      <c r="G141" s="2001">
        <v>0</v>
      </c>
      <c r="H141" s="2007"/>
      <c r="I141" s="2007"/>
    </row>
    <row r="142" spans="2:9" ht="15" customHeight="1">
      <c r="B142" s="1998" t="s">
        <v>990</v>
      </c>
      <c r="C142" s="1998" t="s">
        <v>1214</v>
      </c>
      <c r="F142" s="1999">
        <v>0</v>
      </c>
      <c r="G142" s="2001">
        <v>0</v>
      </c>
      <c r="H142" s="2007"/>
      <c r="I142" s="2007"/>
    </row>
    <row r="143" spans="2:9" ht="15" customHeight="1">
      <c r="B143" s="1998" t="s">
        <v>990</v>
      </c>
      <c r="C143" s="1998" t="s">
        <v>1215</v>
      </c>
      <c r="F143" s="1999">
        <f>SUM(F129:F135)</f>
        <v>-1.3662000000000001</v>
      </c>
      <c r="G143" s="2001">
        <f>SUM(G129:G135)</f>
        <v>-1.9403999999999999</v>
      </c>
      <c r="H143" s="2001">
        <f>SUM(H129:H135)</f>
        <v>-2.5541999999999998</v>
      </c>
      <c r="I143" s="2001">
        <f>SUM(I129:I135)</f>
        <v>-1.9601999999999999</v>
      </c>
    </row>
    <row r="144" spans="2:9" ht="15" customHeight="1">
      <c r="B144" s="1998" t="s">
        <v>990</v>
      </c>
      <c r="C144" s="1998" t="s">
        <v>1216</v>
      </c>
      <c r="F144" s="1999">
        <f>SUM(F136:F142)</f>
        <v>0</v>
      </c>
      <c r="G144" s="2001">
        <f>SUM(G136:G142)</f>
        <v>0</v>
      </c>
      <c r="H144" s="2001">
        <f>SUM(H136:H142)</f>
        <v>0</v>
      </c>
      <c r="I144" s="2001">
        <f>SUM(I136:I142)</f>
        <v>0</v>
      </c>
    </row>
    <row r="145" spans="2:9" ht="15" customHeight="1" thickBot="1">
      <c r="B145" s="2013"/>
      <c r="C145" s="2025" t="s">
        <v>1046</v>
      </c>
      <c r="D145" s="2014"/>
      <c r="E145" s="2014"/>
      <c r="F145" s="2026">
        <f>F143+F144</f>
        <v>-1.3662000000000001</v>
      </c>
      <c r="G145" s="2026">
        <f>G143+G144</f>
        <v>-1.9403999999999999</v>
      </c>
      <c r="H145" s="2027">
        <f>H143+H144</f>
        <v>-2.5541999999999998</v>
      </c>
      <c r="I145" s="2027">
        <f>I143+I144</f>
        <v>-1.9601999999999999</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1218</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1119</v>
      </c>
    </row>
    <row r="150" spans="2:9" ht="26">
      <c r="B150" s="1998"/>
      <c r="C150" s="1998"/>
      <c r="F150" s="2023" t="s">
        <v>968</v>
      </c>
      <c r="G150" s="1937" t="s">
        <v>980</v>
      </c>
      <c r="H150" s="1937" t="s">
        <v>985</v>
      </c>
      <c r="I150" s="2043" t="s">
        <v>1120</v>
      </c>
    </row>
    <row r="151" spans="2:9" ht="15" customHeight="1">
      <c r="B151" s="2028" t="s">
        <v>992</v>
      </c>
      <c r="C151" s="1998"/>
      <c r="F151" s="2023" t="s">
        <v>141</v>
      </c>
      <c r="G151" s="1937" t="s">
        <v>141</v>
      </c>
      <c r="H151" s="1937" t="s">
        <v>141</v>
      </c>
      <c r="I151" s="1937" t="s">
        <v>141</v>
      </c>
    </row>
    <row r="152" spans="2:9" ht="15" customHeight="1">
      <c r="B152" s="1998" t="s">
        <v>993</v>
      </c>
      <c r="C152" s="1998" t="s">
        <v>1201</v>
      </c>
      <c r="F152" s="1999">
        <v>-1.5049999999999999</v>
      </c>
      <c r="G152" s="2001">
        <v>-2.38</v>
      </c>
      <c r="H152" s="2007"/>
      <c r="I152" s="2007"/>
    </row>
    <row r="153" spans="2:9" ht="15" customHeight="1">
      <c r="B153" s="1998" t="s">
        <v>993</v>
      </c>
      <c r="C153" s="1998" t="s">
        <v>1202</v>
      </c>
      <c r="F153" s="1999">
        <v>0</v>
      </c>
      <c r="G153" s="2001">
        <v>0</v>
      </c>
      <c r="H153" s="2007"/>
      <c r="I153" s="2007"/>
    </row>
    <row r="154" spans="2:9" ht="15" customHeight="1">
      <c r="B154" s="1998" t="s">
        <v>993</v>
      </c>
      <c r="C154" s="1998" t="s">
        <v>1203</v>
      </c>
      <c r="F154" s="1999">
        <v>0</v>
      </c>
      <c r="G154" s="2001">
        <v>0</v>
      </c>
      <c r="H154" s="2007"/>
      <c r="I154" s="2007"/>
    </row>
    <row r="155" spans="2:9" ht="15" customHeight="1">
      <c r="B155" s="1998" t="s">
        <v>993</v>
      </c>
      <c r="C155" s="1998" t="s">
        <v>1204</v>
      </c>
      <c r="F155" s="1999">
        <v>0</v>
      </c>
      <c r="G155" s="2001">
        <v>0</v>
      </c>
      <c r="H155" s="2007"/>
      <c r="I155" s="2007"/>
    </row>
    <row r="156" spans="2:9" ht="15" customHeight="1">
      <c r="B156" s="1998" t="s">
        <v>993</v>
      </c>
      <c r="C156" s="1998" t="s">
        <v>1205</v>
      </c>
      <c r="F156" s="1999">
        <v>0</v>
      </c>
      <c r="G156" s="2001">
        <v>0</v>
      </c>
      <c r="H156" s="2007"/>
      <c r="I156" s="2007"/>
    </row>
    <row r="157" spans="2:9" ht="15" customHeight="1">
      <c r="B157" s="1998" t="s">
        <v>993</v>
      </c>
      <c r="C157" s="1998" t="s">
        <v>1206</v>
      </c>
      <c r="F157" s="1999">
        <v>0</v>
      </c>
      <c r="G157" s="2001">
        <v>0</v>
      </c>
      <c r="H157" s="2007"/>
      <c r="I157" s="2007"/>
    </row>
    <row r="158" spans="2:9" ht="15" customHeight="1">
      <c r="B158" s="2008" t="s">
        <v>993</v>
      </c>
      <c r="C158" s="2008" t="s">
        <v>1207</v>
      </c>
      <c r="D158" s="2009"/>
      <c r="E158" s="2009"/>
      <c r="F158" s="2010">
        <v>0</v>
      </c>
      <c r="G158" s="2011">
        <v>0</v>
      </c>
      <c r="H158" s="2012"/>
      <c r="I158" s="2012"/>
    </row>
    <row r="159" spans="2:9" ht="15" customHeight="1">
      <c r="B159" s="1998" t="s">
        <v>993</v>
      </c>
      <c r="C159" s="1998" t="s">
        <v>1208</v>
      </c>
      <c r="F159" s="1999">
        <v>0</v>
      </c>
      <c r="G159" s="2001">
        <v>0</v>
      </c>
      <c r="H159" s="2007"/>
      <c r="I159" s="2007"/>
    </row>
    <row r="160" spans="2:9" ht="15" customHeight="1">
      <c r="B160" s="1998" t="s">
        <v>993</v>
      </c>
      <c r="C160" s="1998" t="s">
        <v>1209</v>
      </c>
      <c r="F160" s="1999">
        <v>0</v>
      </c>
      <c r="G160" s="2001">
        <v>0</v>
      </c>
      <c r="H160" s="2007"/>
      <c r="I160" s="2007"/>
    </row>
    <row r="161" spans="2:9" ht="15" customHeight="1">
      <c r="B161" s="1998" t="s">
        <v>993</v>
      </c>
      <c r="C161" s="1998" t="s">
        <v>1210</v>
      </c>
      <c r="F161" s="1999">
        <v>0</v>
      </c>
      <c r="G161" s="2001">
        <v>0</v>
      </c>
      <c r="H161" s="2007"/>
      <c r="I161" s="2007"/>
    </row>
    <row r="162" spans="2:9" ht="15" customHeight="1">
      <c r="B162" s="1998" t="s">
        <v>993</v>
      </c>
      <c r="C162" s="1998" t="s">
        <v>1211</v>
      </c>
      <c r="F162" s="1999">
        <v>0</v>
      </c>
      <c r="G162" s="2001">
        <v>0</v>
      </c>
      <c r="H162" s="2007"/>
      <c r="I162" s="2007"/>
    </row>
    <row r="163" spans="2:9" ht="15" customHeight="1">
      <c r="B163" s="1998" t="s">
        <v>993</v>
      </c>
      <c r="C163" s="1998" t="s">
        <v>1212</v>
      </c>
      <c r="F163" s="1999">
        <v>0</v>
      </c>
      <c r="G163" s="2001">
        <v>0</v>
      </c>
      <c r="H163" s="2007"/>
      <c r="I163" s="2007"/>
    </row>
    <row r="164" spans="2:9" ht="15" customHeight="1">
      <c r="B164" s="1998" t="s">
        <v>993</v>
      </c>
      <c r="C164" s="1998" t="s">
        <v>1213</v>
      </c>
      <c r="F164" s="1999">
        <v>0</v>
      </c>
      <c r="G164" s="2001">
        <v>0</v>
      </c>
      <c r="H164" s="2007"/>
      <c r="I164" s="2007"/>
    </row>
    <row r="165" spans="2:9" ht="15" customHeight="1">
      <c r="B165" s="1998" t="s">
        <v>993</v>
      </c>
      <c r="C165" s="1998" t="s">
        <v>1214</v>
      </c>
      <c r="F165" s="1999">
        <v>0</v>
      </c>
      <c r="G165" s="2001">
        <v>0</v>
      </c>
      <c r="H165" s="2007"/>
      <c r="I165" s="2007"/>
    </row>
    <row r="166" spans="2:9" ht="15" customHeight="1">
      <c r="B166" s="1998" t="s">
        <v>993</v>
      </c>
      <c r="C166" s="1998" t="s">
        <v>1215</v>
      </c>
      <c r="F166" s="1999">
        <f>SUM(F152:F158)</f>
        <v>-1.5049999999999999</v>
      </c>
      <c r="G166" s="2001">
        <f>SUM(G152:G158)</f>
        <v>-2.38</v>
      </c>
      <c r="H166" s="2001">
        <f>SUM(H152:H158)</f>
        <v>0</v>
      </c>
      <c r="I166" s="2001">
        <f>SUM(I152:I158)</f>
        <v>0</v>
      </c>
    </row>
    <row r="167" spans="2:9" ht="15" customHeight="1">
      <c r="B167" s="1998" t="s">
        <v>993</v>
      </c>
      <c r="C167" s="1998" t="s">
        <v>1216</v>
      </c>
      <c r="F167" s="1999">
        <f>SUM(F159:F165)</f>
        <v>0</v>
      </c>
      <c r="G167" s="2001">
        <f>SUM(G159:G165)</f>
        <v>0</v>
      </c>
      <c r="H167" s="2001">
        <f>SUM(H159:H165)</f>
        <v>0</v>
      </c>
      <c r="I167" s="2001">
        <f>SUM(I159:I165)</f>
        <v>0</v>
      </c>
    </row>
    <row r="168" spans="2:9" ht="15" customHeight="1" thickBot="1">
      <c r="B168" s="2013"/>
      <c r="C168" s="2025" t="s">
        <v>1046</v>
      </c>
      <c r="D168" s="2014"/>
      <c r="E168" s="2014"/>
      <c r="F168" s="2026">
        <f>F166+F167</f>
        <v>-1.5049999999999999</v>
      </c>
      <c r="G168" s="2027">
        <f>G166+G167</f>
        <v>-2.38</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1218</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1119</v>
      </c>
    </row>
    <row r="173" spans="2:9" ht="26">
      <c r="B173" s="1998"/>
      <c r="C173" s="1998"/>
      <c r="F173" s="2023" t="s">
        <v>968</v>
      </c>
      <c r="G173" s="1937" t="s">
        <v>980</v>
      </c>
      <c r="H173" s="1937" t="s">
        <v>985</v>
      </c>
      <c r="I173" s="2043" t="s">
        <v>1120</v>
      </c>
    </row>
    <row r="174" spans="2:9" ht="15" customHeight="1">
      <c r="B174" s="2028" t="s">
        <v>998</v>
      </c>
      <c r="C174" s="1998"/>
      <c r="F174" s="2023" t="s">
        <v>141</v>
      </c>
      <c r="G174" s="1937" t="s">
        <v>141</v>
      </c>
      <c r="H174" s="1937" t="s">
        <v>141</v>
      </c>
      <c r="I174" s="1937" t="s">
        <v>141</v>
      </c>
    </row>
    <row r="175" spans="2:9" ht="15" customHeight="1">
      <c r="B175" s="1998" t="s">
        <v>999</v>
      </c>
      <c r="C175" s="1998" t="s">
        <v>1201</v>
      </c>
      <c r="F175" s="1999">
        <v>0</v>
      </c>
      <c r="G175" s="2001">
        <v>0</v>
      </c>
      <c r="H175" s="2007"/>
      <c r="I175" s="2007"/>
    </row>
    <row r="176" spans="2:9" ht="15" customHeight="1">
      <c r="B176" s="1998" t="s">
        <v>999</v>
      </c>
      <c r="C176" s="1998" t="s">
        <v>1202</v>
      </c>
      <c r="F176" s="1999">
        <v>6.1950444774083704E-17</v>
      </c>
      <c r="G176" s="2001">
        <v>0</v>
      </c>
      <c r="H176" s="2007"/>
      <c r="I176" s="2007"/>
    </row>
    <row r="177" spans="2:9" ht="15" customHeight="1">
      <c r="B177" s="1998" t="s">
        <v>999</v>
      </c>
      <c r="C177" s="1998" t="s">
        <v>1203</v>
      </c>
      <c r="F177" s="1999">
        <v>0</v>
      </c>
      <c r="G177" s="2001">
        <v>3.6770586575585198E-16</v>
      </c>
      <c r="H177" s="2007"/>
      <c r="I177" s="2007"/>
    </row>
    <row r="178" spans="2:9" ht="15" customHeight="1">
      <c r="B178" s="1998" t="s">
        <v>999</v>
      </c>
      <c r="C178" s="1998" t="s">
        <v>1204</v>
      </c>
      <c r="F178" s="1999">
        <v>0</v>
      </c>
      <c r="G178" s="2001">
        <v>0</v>
      </c>
      <c r="H178" s="2007"/>
      <c r="I178" s="2007"/>
    </row>
    <row r="179" spans="2:9" ht="15" customHeight="1">
      <c r="B179" s="1998" t="s">
        <v>999</v>
      </c>
      <c r="C179" s="1998" t="s">
        <v>1205</v>
      </c>
      <c r="F179" s="1999">
        <v>0</v>
      </c>
      <c r="G179" s="2001">
        <v>0</v>
      </c>
      <c r="H179" s="2007"/>
      <c r="I179" s="2007"/>
    </row>
    <row r="180" spans="2:9" ht="15" customHeight="1">
      <c r="B180" s="1998" t="s">
        <v>999</v>
      </c>
      <c r="C180" s="1998" t="s">
        <v>1206</v>
      </c>
      <c r="F180" s="1999">
        <v>0</v>
      </c>
      <c r="G180" s="2001">
        <v>0</v>
      </c>
      <c r="H180" s="2007"/>
      <c r="I180" s="2007"/>
    </row>
    <row r="181" spans="2:9" ht="15" customHeight="1">
      <c r="B181" s="2008" t="s">
        <v>999</v>
      </c>
      <c r="C181" s="2008" t="s">
        <v>1207</v>
      </c>
      <c r="D181" s="2009"/>
      <c r="E181" s="2009"/>
      <c r="F181" s="2010">
        <v>0</v>
      </c>
      <c r="G181" s="2011">
        <v>0</v>
      </c>
      <c r="H181" s="2012"/>
      <c r="I181" s="2012"/>
    </row>
    <row r="182" spans="2:9" ht="15" customHeight="1">
      <c r="B182" s="1998" t="s">
        <v>999</v>
      </c>
      <c r="C182" s="1998" t="s">
        <v>1208</v>
      </c>
      <c r="F182" s="1999">
        <v>1.8225</v>
      </c>
      <c r="G182" s="2001">
        <v>1.9237500000000001</v>
      </c>
      <c r="H182" s="2007"/>
      <c r="I182" s="2007"/>
    </row>
    <row r="183" spans="2:9" ht="15" customHeight="1">
      <c r="B183" s="1998" t="s">
        <v>999</v>
      </c>
      <c r="C183" s="1998" t="s">
        <v>1209</v>
      </c>
      <c r="F183" s="1999">
        <v>2.0880000000000001</v>
      </c>
      <c r="G183" s="2001">
        <v>2.47925</v>
      </c>
      <c r="H183" s="2007"/>
      <c r="I183" s="2007"/>
    </row>
    <row r="184" spans="2:9" ht="15" customHeight="1">
      <c r="B184" s="1998" t="s">
        <v>999</v>
      </c>
      <c r="C184" s="1998" t="s">
        <v>1210</v>
      </c>
      <c r="F184" s="1999">
        <v>0</v>
      </c>
      <c r="G184" s="2001">
        <v>1.6559999999999999</v>
      </c>
      <c r="H184" s="2007"/>
      <c r="I184" s="2007"/>
    </row>
    <row r="185" spans="2:9" ht="15" customHeight="1">
      <c r="B185" s="1998" t="s">
        <v>999</v>
      </c>
      <c r="C185" s="1998" t="s">
        <v>1211</v>
      </c>
      <c r="F185" s="1999">
        <v>0</v>
      </c>
      <c r="G185" s="2001">
        <v>0</v>
      </c>
      <c r="H185" s="2007"/>
      <c r="I185" s="2007"/>
    </row>
    <row r="186" spans="2:9" ht="15" customHeight="1">
      <c r="B186" s="1998" t="s">
        <v>999</v>
      </c>
      <c r="C186" s="1998" t="s">
        <v>1212</v>
      </c>
      <c r="F186" s="1999">
        <v>0</v>
      </c>
      <c r="G186" s="2001">
        <v>0</v>
      </c>
      <c r="H186" s="2007"/>
      <c r="I186" s="2007"/>
    </row>
    <row r="187" spans="2:9" ht="15" customHeight="1">
      <c r="B187" s="1998" t="s">
        <v>999</v>
      </c>
      <c r="C187" s="1998" t="s">
        <v>1213</v>
      </c>
      <c r="F187" s="1999">
        <v>0</v>
      </c>
      <c r="G187" s="2001">
        <v>0</v>
      </c>
      <c r="H187" s="2007"/>
      <c r="I187" s="2007"/>
    </row>
    <row r="188" spans="2:9" ht="15" customHeight="1">
      <c r="B188" s="1998" t="s">
        <v>999</v>
      </c>
      <c r="C188" s="1998" t="s">
        <v>1214</v>
      </c>
      <c r="F188" s="1999">
        <v>0</v>
      </c>
      <c r="G188" s="2001">
        <v>0</v>
      </c>
      <c r="H188" s="2007"/>
      <c r="I188" s="2007"/>
    </row>
    <row r="189" spans="2:9" ht="15" customHeight="1">
      <c r="B189" s="1998" t="s">
        <v>999</v>
      </c>
      <c r="C189" s="1998" t="s">
        <v>1215</v>
      </c>
      <c r="F189" s="1999">
        <f>SUM(F175:F181)</f>
        <v>6.1950444774083704E-17</v>
      </c>
      <c r="G189" s="2001">
        <f>SUM(G175:G181)</f>
        <v>3.6770586575585198E-16</v>
      </c>
      <c r="H189" s="2001">
        <f>SUM(H175:H181)</f>
        <v>0</v>
      </c>
      <c r="I189" s="2001">
        <f>SUM(I175:I181)</f>
        <v>0</v>
      </c>
    </row>
    <row r="190" spans="2:9" ht="15" customHeight="1">
      <c r="B190" s="1998" t="s">
        <v>999</v>
      </c>
      <c r="C190" s="1998" t="s">
        <v>1216</v>
      </c>
      <c r="F190" s="1999">
        <f>SUM(F182:F188)</f>
        <v>3.9104999999999999</v>
      </c>
      <c r="G190" s="2001">
        <f>SUM(G182:G188)</f>
        <v>6.0590000000000002</v>
      </c>
      <c r="H190" s="2001">
        <f>SUM(H182:H188)</f>
        <v>0</v>
      </c>
      <c r="I190" s="2001">
        <f>SUM(I182:I188)</f>
        <v>0</v>
      </c>
    </row>
    <row r="191" spans="2:9" ht="15" customHeight="1" thickBot="1">
      <c r="B191" s="2013"/>
      <c r="C191" s="2025" t="s">
        <v>1046</v>
      </c>
      <c r="D191" s="2014"/>
      <c r="E191" s="2014"/>
      <c r="F191" s="2026">
        <f>F189+F190</f>
        <v>3.9104999999999999</v>
      </c>
      <c r="G191" s="2026">
        <f>G189+G190</f>
        <v>6.0590000000000002</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1219</v>
      </c>
      <c r="C193" s="2030"/>
      <c r="D193" s="2031"/>
      <c r="E193" s="2031"/>
      <c r="F193" s="2032"/>
      <c r="G193" s="2032"/>
      <c r="H193" s="2032"/>
      <c r="I193" s="2032"/>
    </row>
    <row r="194" spans="2:9" ht="15" customHeight="1">
      <c r="B194" s="2033" t="s">
        <v>1220</v>
      </c>
      <c r="C194" s="2030"/>
      <c r="D194" s="2031"/>
      <c r="E194" s="2031"/>
      <c r="F194" s="2032"/>
      <c r="G194" s="2032"/>
      <c r="H194" s="2032"/>
      <c r="I194" s="2032"/>
    </row>
    <row r="195" spans="2:9" ht="15" customHeight="1">
      <c r="B195" s="1998"/>
      <c r="C195" s="1998"/>
      <c r="F195" s="1998"/>
      <c r="I195" s="462" t="s">
        <v>1119</v>
      </c>
    </row>
    <row r="196" spans="2:9" ht="26">
      <c r="B196" s="1998"/>
      <c r="C196" s="1998"/>
      <c r="F196" s="2023" t="s">
        <v>968</v>
      </c>
      <c r="G196" s="1937" t="s">
        <v>980</v>
      </c>
      <c r="H196" s="1937" t="s">
        <v>985</v>
      </c>
      <c r="I196" s="2043" t="s">
        <v>1120</v>
      </c>
    </row>
    <row r="197" spans="2:9" ht="15" customHeight="1">
      <c r="B197" s="2028" t="s">
        <v>995</v>
      </c>
      <c r="C197" s="1998"/>
      <c r="F197" s="2023" t="s">
        <v>141</v>
      </c>
      <c r="G197" s="1937" t="s">
        <v>141</v>
      </c>
      <c r="H197" s="1937" t="s">
        <v>141</v>
      </c>
      <c r="I197" s="1937" t="s">
        <v>141</v>
      </c>
    </row>
    <row r="198" spans="2:9" ht="15" customHeight="1">
      <c r="B198" s="1998" t="s">
        <v>996</v>
      </c>
      <c r="C198" s="1998" t="s">
        <v>1201</v>
      </c>
      <c r="F198" s="1999">
        <v>-0.99680000000000002</v>
      </c>
      <c r="G198" s="2001">
        <v>-1.4596</v>
      </c>
      <c r="H198" s="2007"/>
      <c r="I198" s="2007"/>
    </row>
    <row r="199" spans="2:9" ht="15" customHeight="1">
      <c r="B199" s="1998" t="s">
        <v>996</v>
      </c>
      <c r="C199" s="1998" t="s">
        <v>1202</v>
      </c>
      <c r="F199" s="1999">
        <v>0</v>
      </c>
      <c r="G199" s="2001">
        <v>0</v>
      </c>
      <c r="H199" s="2007"/>
      <c r="I199" s="2007"/>
    </row>
    <row r="200" spans="2:9" ht="15" customHeight="1">
      <c r="B200" s="1998" t="s">
        <v>996</v>
      </c>
      <c r="C200" s="1998" t="s">
        <v>1203</v>
      </c>
      <c r="F200" s="1999">
        <v>0</v>
      </c>
      <c r="G200" s="2001">
        <v>0</v>
      </c>
      <c r="H200" s="2007"/>
      <c r="I200" s="2007"/>
    </row>
    <row r="201" spans="2:9" ht="15" customHeight="1">
      <c r="B201" s="1998" t="s">
        <v>996</v>
      </c>
      <c r="C201" s="1998" t="s">
        <v>1204</v>
      </c>
      <c r="F201" s="1999">
        <v>0</v>
      </c>
      <c r="G201" s="2001">
        <v>0</v>
      </c>
      <c r="H201" s="2007"/>
      <c r="I201" s="2007"/>
    </row>
    <row r="202" spans="2:9" ht="15" customHeight="1">
      <c r="B202" s="1998" t="s">
        <v>996</v>
      </c>
      <c r="C202" s="1998" t="s">
        <v>1205</v>
      </c>
      <c r="F202" s="1999">
        <v>0</v>
      </c>
      <c r="G202" s="2001">
        <v>0</v>
      </c>
      <c r="H202" s="2007"/>
      <c r="I202" s="2007"/>
    </row>
    <row r="203" spans="2:9" ht="15" customHeight="1">
      <c r="B203" s="1998" t="s">
        <v>996</v>
      </c>
      <c r="C203" s="1998" t="s">
        <v>1206</v>
      </c>
      <c r="F203" s="1999">
        <v>0</v>
      </c>
      <c r="G203" s="2001">
        <v>0</v>
      </c>
      <c r="H203" s="2007"/>
      <c r="I203" s="2007"/>
    </row>
    <row r="204" spans="2:9" ht="15" customHeight="1">
      <c r="B204" s="2008" t="s">
        <v>996</v>
      </c>
      <c r="C204" s="2008" t="s">
        <v>1207</v>
      </c>
      <c r="D204" s="2009"/>
      <c r="E204" s="2009"/>
      <c r="F204" s="2010">
        <v>0</v>
      </c>
      <c r="G204" s="2011">
        <v>0</v>
      </c>
      <c r="H204" s="2012"/>
      <c r="I204" s="2012"/>
    </row>
    <row r="205" spans="2:9" ht="15" customHeight="1">
      <c r="B205" s="1998" t="s">
        <v>996</v>
      </c>
      <c r="C205" s="1998" t="s">
        <v>1208</v>
      </c>
      <c r="F205" s="1999">
        <v>0</v>
      </c>
      <c r="G205" s="2001">
        <v>0</v>
      </c>
      <c r="H205" s="2007"/>
      <c r="I205" s="2007"/>
    </row>
    <row r="206" spans="2:9" ht="15" customHeight="1">
      <c r="B206" s="1998" t="s">
        <v>996</v>
      </c>
      <c r="C206" s="1998" t="s">
        <v>1209</v>
      </c>
      <c r="F206" s="1999">
        <v>0</v>
      </c>
      <c r="G206" s="2001">
        <v>0</v>
      </c>
      <c r="H206" s="2007"/>
      <c r="I206" s="2007"/>
    </row>
    <row r="207" spans="2:9" ht="15" customHeight="1">
      <c r="B207" s="1998" t="s">
        <v>996</v>
      </c>
      <c r="C207" s="1998" t="s">
        <v>1210</v>
      </c>
      <c r="F207" s="1999">
        <v>0</v>
      </c>
      <c r="G207" s="2001">
        <v>0</v>
      </c>
      <c r="H207" s="2007"/>
      <c r="I207" s="2007"/>
    </row>
    <row r="208" spans="2:9" ht="15" customHeight="1">
      <c r="B208" s="1998" t="s">
        <v>996</v>
      </c>
      <c r="C208" s="1998" t="s">
        <v>1211</v>
      </c>
      <c r="F208" s="1999">
        <v>0</v>
      </c>
      <c r="G208" s="2001">
        <v>0</v>
      </c>
      <c r="H208" s="2007"/>
      <c r="I208" s="2007"/>
    </row>
    <row r="209" spans="2:9" ht="15" customHeight="1">
      <c r="B209" s="1998" t="s">
        <v>996</v>
      </c>
      <c r="C209" s="1998" t="s">
        <v>1212</v>
      </c>
      <c r="F209" s="1999">
        <v>0</v>
      </c>
      <c r="G209" s="2001">
        <v>0</v>
      </c>
      <c r="H209" s="2007"/>
      <c r="I209" s="2007"/>
    </row>
    <row r="210" spans="2:9" ht="15" customHeight="1">
      <c r="B210" s="1998" t="s">
        <v>996</v>
      </c>
      <c r="C210" s="1998" t="s">
        <v>1213</v>
      </c>
      <c r="F210" s="1999">
        <v>0</v>
      </c>
      <c r="G210" s="2001">
        <v>0</v>
      </c>
      <c r="H210" s="2007"/>
      <c r="I210" s="2007"/>
    </row>
    <row r="211" spans="2:9" ht="15" customHeight="1">
      <c r="B211" s="1998" t="s">
        <v>996</v>
      </c>
      <c r="C211" s="1998" t="s">
        <v>1214</v>
      </c>
      <c r="F211" s="1999">
        <v>0</v>
      </c>
      <c r="G211" s="2001">
        <v>0</v>
      </c>
      <c r="H211" s="2007"/>
      <c r="I211" s="2007"/>
    </row>
    <row r="212" spans="2:9" ht="15" customHeight="1">
      <c r="B212" s="1998" t="s">
        <v>996</v>
      </c>
      <c r="C212" s="1998" t="s">
        <v>1215</v>
      </c>
      <c r="F212" s="1999">
        <f>SUM(F198:F204)</f>
        <v>-0.99680000000000002</v>
      </c>
      <c r="G212" s="2001">
        <f>SUM(G198:G204)</f>
        <v>-1.4596</v>
      </c>
      <c r="H212" s="2001">
        <f>SUM(H198:H204)</f>
        <v>0</v>
      </c>
      <c r="I212" s="2001">
        <f>SUM(I198:I204)</f>
        <v>0</v>
      </c>
    </row>
    <row r="213" spans="2:9" ht="15" customHeight="1">
      <c r="B213" s="1998" t="s">
        <v>996</v>
      </c>
      <c r="C213" s="1998" t="s">
        <v>1216</v>
      </c>
      <c r="F213" s="1999">
        <f>SUM(F205:F211)</f>
        <v>0</v>
      </c>
      <c r="G213" s="2001">
        <f>SUM(G205:G211)</f>
        <v>0</v>
      </c>
      <c r="H213" s="2001">
        <f>SUM(H205:H211)</f>
        <v>0</v>
      </c>
      <c r="I213" s="2001">
        <f>SUM(I205:I211)</f>
        <v>0</v>
      </c>
    </row>
    <row r="214" spans="2:9" ht="15" customHeight="1" thickBot="1">
      <c r="B214" s="2013"/>
      <c r="C214" s="2013" t="s">
        <v>1046</v>
      </c>
      <c r="D214" s="2014"/>
      <c r="E214" s="2014"/>
      <c r="F214" s="2026">
        <f>F212+F213</f>
        <v>-0.99680000000000002</v>
      </c>
      <c r="G214" s="2027">
        <f>G212+G213</f>
        <v>-1.4596</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1218</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1119</v>
      </c>
    </row>
    <row r="219" spans="2:9" ht="26">
      <c r="B219" s="1998"/>
      <c r="C219" s="1998"/>
      <c r="F219" s="2023" t="s">
        <v>968</v>
      </c>
      <c r="G219" s="1937" t="s">
        <v>980</v>
      </c>
      <c r="H219" s="1937" t="s">
        <v>985</v>
      </c>
      <c r="I219" s="2043" t="s">
        <v>1120</v>
      </c>
    </row>
    <row r="220" spans="2:9" ht="15" customHeight="1">
      <c r="B220" s="2028" t="s">
        <v>1002</v>
      </c>
      <c r="C220" s="1998"/>
      <c r="F220" s="2023" t="s">
        <v>141</v>
      </c>
      <c r="G220" s="1937" t="s">
        <v>141</v>
      </c>
      <c r="H220" s="1937" t="s">
        <v>141</v>
      </c>
      <c r="I220" s="1937" t="s">
        <v>141</v>
      </c>
    </row>
    <row r="221" spans="2:9" ht="15" customHeight="1">
      <c r="B221" s="1998" t="s">
        <v>1003</v>
      </c>
      <c r="C221" s="1998" t="s">
        <v>1201</v>
      </c>
      <c r="F221" s="1999">
        <v>0</v>
      </c>
      <c r="G221" s="2001">
        <v>0</v>
      </c>
      <c r="H221" s="2007"/>
      <c r="I221" s="2007"/>
    </row>
    <row r="222" spans="2:9" ht="15" customHeight="1">
      <c r="B222" s="1998" t="s">
        <v>1003</v>
      </c>
      <c r="C222" s="1998" t="s">
        <v>1202</v>
      </c>
      <c r="F222" s="1999">
        <v>-2.7143999999999999</v>
      </c>
      <c r="G222" s="2001">
        <v>-3.4104000000000001</v>
      </c>
      <c r="H222" s="2007"/>
      <c r="I222" s="2007"/>
    </row>
    <row r="223" spans="2:9" ht="15" customHeight="1">
      <c r="B223" s="1998" t="s">
        <v>1003</v>
      </c>
      <c r="C223" s="1998" t="s">
        <v>1203</v>
      </c>
      <c r="F223" s="1999">
        <v>0</v>
      </c>
      <c r="G223" s="2001">
        <v>0</v>
      </c>
      <c r="H223" s="2007"/>
      <c r="I223" s="2007"/>
    </row>
    <row r="224" spans="2:9" ht="15" customHeight="1">
      <c r="B224" s="1998" t="s">
        <v>1003</v>
      </c>
      <c r="C224" s="1998" t="s">
        <v>1204</v>
      </c>
      <c r="F224" s="1999">
        <v>0</v>
      </c>
      <c r="G224" s="2001">
        <v>0</v>
      </c>
      <c r="H224" s="2007"/>
      <c r="I224" s="2007"/>
    </row>
    <row r="225" spans="2:9" ht="15" customHeight="1">
      <c r="B225" s="1998" t="s">
        <v>1003</v>
      </c>
      <c r="C225" s="1998" t="s">
        <v>1205</v>
      </c>
      <c r="F225" s="1999">
        <v>0</v>
      </c>
      <c r="G225" s="2001">
        <v>0</v>
      </c>
      <c r="H225" s="2007"/>
      <c r="I225" s="2007"/>
    </row>
    <row r="226" spans="2:9" ht="15" customHeight="1">
      <c r="B226" s="1998" t="s">
        <v>1003</v>
      </c>
      <c r="C226" s="1998" t="s">
        <v>1206</v>
      </c>
      <c r="F226" s="1999">
        <v>0</v>
      </c>
      <c r="G226" s="2001">
        <v>0</v>
      </c>
      <c r="H226" s="2007"/>
      <c r="I226" s="2007"/>
    </row>
    <row r="227" spans="2:9" ht="15" customHeight="1">
      <c r="B227" s="2008" t="s">
        <v>1003</v>
      </c>
      <c r="C227" s="2008" t="s">
        <v>1207</v>
      </c>
      <c r="D227" s="2009"/>
      <c r="E227" s="2009"/>
      <c r="F227" s="2010">
        <v>0</v>
      </c>
      <c r="G227" s="2011">
        <v>0</v>
      </c>
      <c r="H227" s="2012"/>
      <c r="I227" s="2012"/>
    </row>
    <row r="228" spans="2:9" ht="15" customHeight="1">
      <c r="B228" s="1998" t="s">
        <v>1003</v>
      </c>
      <c r="C228" s="1998" t="s">
        <v>1208</v>
      </c>
      <c r="F228" s="1999">
        <v>0</v>
      </c>
      <c r="G228" s="2001">
        <v>0</v>
      </c>
      <c r="H228" s="2007"/>
      <c r="I228" s="2007"/>
    </row>
    <row r="229" spans="2:9" ht="15" customHeight="1">
      <c r="B229" s="1998" t="s">
        <v>1003</v>
      </c>
      <c r="C229" s="1998" t="s">
        <v>1209</v>
      </c>
      <c r="F229" s="1999">
        <v>0</v>
      </c>
      <c r="G229" s="2001">
        <v>0</v>
      </c>
      <c r="H229" s="2007"/>
      <c r="I229" s="2007"/>
    </row>
    <row r="230" spans="2:9" ht="15" customHeight="1">
      <c r="B230" s="1998" t="s">
        <v>1003</v>
      </c>
      <c r="C230" s="1998" t="s">
        <v>1210</v>
      </c>
      <c r="F230" s="1999">
        <v>0</v>
      </c>
      <c r="G230" s="2001">
        <v>0</v>
      </c>
      <c r="H230" s="2007"/>
      <c r="I230" s="2007"/>
    </row>
    <row r="231" spans="2:9" ht="15" customHeight="1">
      <c r="B231" s="1998" t="s">
        <v>1003</v>
      </c>
      <c r="C231" s="1998" t="s">
        <v>1211</v>
      </c>
      <c r="F231" s="1999">
        <v>0</v>
      </c>
      <c r="G231" s="2001">
        <v>0</v>
      </c>
      <c r="H231" s="2007"/>
      <c r="I231" s="2007"/>
    </row>
    <row r="232" spans="2:9" ht="15" customHeight="1">
      <c r="B232" s="1998" t="s">
        <v>1003</v>
      </c>
      <c r="C232" s="1998" t="s">
        <v>1212</v>
      </c>
      <c r="F232" s="1999">
        <v>0</v>
      </c>
      <c r="G232" s="2001">
        <v>0</v>
      </c>
      <c r="H232" s="2007"/>
      <c r="I232" s="2007"/>
    </row>
    <row r="233" spans="2:9" ht="15" customHeight="1">
      <c r="B233" s="1998" t="s">
        <v>1003</v>
      </c>
      <c r="C233" s="1998" t="s">
        <v>1213</v>
      </c>
      <c r="F233" s="1999">
        <v>0</v>
      </c>
      <c r="G233" s="2001">
        <v>0</v>
      </c>
      <c r="H233" s="2007"/>
      <c r="I233" s="2007"/>
    </row>
    <row r="234" spans="2:9" ht="15" customHeight="1">
      <c r="B234" s="1998" t="s">
        <v>1003</v>
      </c>
      <c r="C234" s="1998" t="s">
        <v>1214</v>
      </c>
      <c r="F234" s="1999">
        <v>0</v>
      </c>
      <c r="G234" s="2001">
        <v>0</v>
      </c>
      <c r="H234" s="2007"/>
      <c r="I234" s="2007"/>
    </row>
    <row r="235" spans="2:9" ht="15" customHeight="1">
      <c r="B235" s="1998" t="s">
        <v>1003</v>
      </c>
      <c r="C235" s="1998" t="s">
        <v>1215</v>
      </c>
      <c r="F235" s="1999">
        <f>SUM(F221:F227)</f>
        <v>-2.7143999999999999</v>
      </c>
      <c r="G235" s="2001">
        <f>SUM(G221:G227)</f>
        <v>-3.4104000000000001</v>
      </c>
      <c r="H235" s="2001">
        <f>SUM(H221:H227)</f>
        <v>0</v>
      </c>
      <c r="I235" s="2001">
        <f>SUM(I221:I227)</f>
        <v>0</v>
      </c>
    </row>
    <row r="236" spans="2:9" ht="15" customHeight="1">
      <c r="B236" s="1998" t="s">
        <v>1003</v>
      </c>
      <c r="C236" s="1998" t="s">
        <v>1216</v>
      </c>
      <c r="F236" s="1999">
        <f>SUM(F228:F234)</f>
        <v>0</v>
      </c>
      <c r="G236" s="2001">
        <f>SUM(G228:G234)</f>
        <v>0</v>
      </c>
      <c r="H236" s="2001">
        <f>SUM(H228:H234)</f>
        <v>0</v>
      </c>
      <c r="I236" s="2001">
        <f>SUM(I228:I234)</f>
        <v>0</v>
      </c>
    </row>
    <row r="237" spans="2:9" ht="15" customHeight="1" thickBot="1">
      <c r="B237" s="2013"/>
      <c r="C237" s="2013" t="s">
        <v>1046</v>
      </c>
      <c r="D237" s="2014"/>
      <c r="E237" s="2014"/>
      <c r="F237" s="2026">
        <f>F235+F236</f>
        <v>-2.7143999999999999</v>
      </c>
      <c r="G237" s="2027">
        <f>G235+G236</f>
        <v>-3.4104000000000001</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1218</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1119</v>
      </c>
    </row>
    <row r="242" spans="2:9" ht="26">
      <c r="B242" s="1998"/>
      <c r="C242" s="1998"/>
      <c r="F242" s="2023" t="s">
        <v>968</v>
      </c>
      <c r="G242" s="1937" t="s">
        <v>980</v>
      </c>
      <c r="H242" s="1937" t="s">
        <v>985</v>
      </c>
      <c r="I242" s="2043" t="s">
        <v>1120</v>
      </c>
    </row>
    <row r="243" spans="2:9" ht="15" customHeight="1">
      <c r="B243" s="2028" t="s">
        <v>1007</v>
      </c>
      <c r="C243" s="1998"/>
      <c r="F243" s="2023" t="s">
        <v>141</v>
      </c>
      <c r="G243" s="1937" t="s">
        <v>141</v>
      </c>
      <c r="H243" s="1937" t="s">
        <v>141</v>
      </c>
      <c r="I243" s="1937" t="s">
        <v>141</v>
      </c>
    </row>
    <row r="244" spans="2:9" ht="15" customHeight="1">
      <c r="B244" s="1998" t="s">
        <v>1008</v>
      </c>
      <c r="C244" s="1998" t="s">
        <v>1201</v>
      </c>
      <c r="F244" s="1999">
        <v>0</v>
      </c>
      <c r="G244" s="2001">
        <v>0</v>
      </c>
      <c r="H244" s="2007"/>
      <c r="I244" s="2007"/>
    </row>
    <row r="245" spans="2:9" ht="15" customHeight="1">
      <c r="B245" s="1998" t="s">
        <v>1008</v>
      </c>
      <c r="C245" s="1998" t="s">
        <v>1202</v>
      </c>
      <c r="F245" s="1999">
        <v>-1.7423999999999999</v>
      </c>
      <c r="G245" s="2001">
        <v>-2.2968000000000002</v>
      </c>
      <c r="H245" s="2007"/>
      <c r="I245" s="2007"/>
    </row>
    <row r="246" spans="2:9" ht="15" customHeight="1">
      <c r="B246" s="1998" t="s">
        <v>1008</v>
      </c>
      <c r="C246" s="1998" t="s">
        <v>1203</v>
      </c>
      <c r="F246" s="1999">
        <v>0</v>
      </c>
      <c r="G246" s="2001">
        <v>-0.14881800000000001</v>
      </c>
      <c r="H246" s="2007"/>
      <c r="I246" s="2007"/>
    </row>
    <row r="247" spans="2:9" ht="15" customHeight="1">
      <c r="B247" s="1998" t="s">
        <v>1008</v>
      </c>
      <c r="C247" s="1998" t="s">
        <v>1204</v>
      </c>
      <c r="F247" s="1999">
        <v>0</v>
      </c>
      <c r="G247" s="2001">
        <v>0</v>
      </c>
      <c r="H247" s="2007"/>
      <c r="I247" s="2007"/>
    </row>
    <row r="248" spans="2:9" ht="15" customHeight="1">
      <c r="B248" s="1998" t="s">
        <v>1008</v>
      </c>
      <c r="C248" s="1998" t="s">
        <v>1205</v>
      </c>
      <c r="F248" s="1999">
        <v>0</v>
      </c>
      <c r="G248" s="2001">
        <v>0</v>
      </c>
      <c r="H248" s="2007"/>
      <c r="I248" s="2007"/>
    </row>
    <row r="249" spans="2:9" ht="15" customHeight="1">
      <c r="B249" s="1998" t="s">
        <v>1008</v>
      </c>
      <c r="C249" s="1998" t="s">
        <v>1206</v>
      </c>
      <c r="F249" s="1999">
        <v>0</v>
      </c>
      <c r="G249" s="2001">
        <v>0</v>
      </c>
      <c r="H249" s="2007"/>
      <c r="I249" s="2007"/>
    </row>
    <row r="250" spans="2:9" ht="15" customHeight="1">
      <c r="B250" s="2008" t="s">
        <v>1008</v>
      </c>
      <c r="C250" s="2008" t="s">
        <v>1207</v>
      </c>
      <c r="D250" s="2009"/>
      <c r="E250" s="2009"/>
      <c r="F250" s="2010">
        <v>0</v>
      </c>
      <c r="G250" s="2011">
        <v>0</v>
      </c>
      <c r="H250" s="2012"/>
      <c r="I250" s="2012"/>
    </row>
    <row r="251" spans="2:9" ht="15" customHeight="1">
      <c r="B251" s="1998" t="s">
        <v>1008</v>
      </c>
      <c r="C251" s="1998" t="s">
        <v>1208</v>
      </c>
      <c r="F251" s="1999">
        <v>0</v>
      </c>
      <c r="G251" s="2001">
        <v>0</v>
      </c>
      <c r="H251" s="2007"/>
      <c r="I251" s="2007"/>
    </row>
    <row r="252" spans="2:9" ht="15" customHeight="1">
      <c r="B252" s="1998" t="s">
        <v>1008</v>
      </c>
      <c r="C252" s="1998" t="s">
        <v>1209</v>
      </c>
      <c r="F252" s="1999">
        <v>0</v>
      </c>
      <c r="G252" s="2001">
        <v>0</v>
      </c>
      <c r="H252" s="2007"/>
      <c r="I252" s="2007"/>
    </row>
    <row r="253" spans="2:9" ht="15" customHeight="1">
      <c r="B253" s="1998" t="s">
        <v>1008</v>
      </c>
      <c r="C253" s="1998" t="s">
        <v>1210</v>
      </c>
      <c r="F253" s="1999">
        <v>0</v>
      </c>
      <c r="G253" s="2001">
        <v>0</v>
      </c>
      <c r="H253" s="2007"/>
      <c r="I253" s="2007"/>
    </row>
    <row r="254" spans="2:9" ht="15" customHeight="1">
      <c r="B254" s="1998" t="s">
        <v>1008</v>
      </c>
      <c r="C254" s="1998" t="s">
        <v>1211</v>
      </c>
      <c r="F254" s="1999">
        <v>0</v>
      </c>
      <c r="G254" s="2001">
        <v>0</v>
      </c>
      <c r="H254" s="2007"/>
      <c r="I254" s="2007"/>
    </row>
    <row r="255" spans="2:9" ht="15" customHeight="1">
      <c r="B255" s="1998" t="s">
        <v>1008</v>
      </c>
      <c r="C255" s="1998" t="s">
        <v>1212</v>
      </c>
      <c r="F255" s="1999">
        <v>0</v>
      </c>
      <c r="G255" s="2001">
        <v>0</v>
      </c>
      <c r="H255" s="2007"/>
      <c r="I255" s="2007"/>
    </row>
    <row r="256" spans="2:9" ht="15" customHeight="1">
      <c r="B256" s="1998" t="s">
        <v>1008</v>
      </c>
      <c r="C256" s="1998" t="s">
        <v>1213</v>
      </c>
      <c r="F256" s="1999">
        <v>0</v>
      </c>
      <c r="G256" s="2001">
        <v>0</v>
      </c>
      <c r="H256" s="2007"/>
      <c r="I256" s="2007"/>
    </row>
    <row r="257" spans="2:9" ht="15" customHeight="1">
      <c r="B257" s="1998" t="s">
        <v>1008</v>
      </c>
      <c r="C257" s="1998" t="s">
        <v>1214</v>
      </c>
      <c r="F257" s="1999">
        <v>0</v>
      </c>
      <c r="G257" s="2001">
        <v>0</v>
      </c>
      <c r="H257" s="2007"/>
      <c r="I257" s="2007"/>
    </row>
    <row r="258" spans="2:9" ht="15" customHeight="1">
      <c r="B258" s="1998" t="s">
        <v>1008</v>
      </c>
      <c r="C258" s="1998" t="s">
        <v>1215</v>
      </c>
      <c r="F258" s="1999">
        <f>SUM(F244:F250)</f>
        <v>-1.7423999999999999</v>
      </c>
      <c r="G258" s="2001">
        <f>SUM(G244:G250)</f>
        <v>-2.4456180000000001</v>
      </c>
      <c r="H258" s="2001">
        <f>SUM(H244:H250)</f>
        <v>0</v>
      </c>
      <c r="I258" s="2001">
        <f>SUM(I244:I250)</f>
        <v>0</v>
      </c>
    </row>
    <row r="259" spans="2:9" ht="15" customHeight="1">
      <c r="B259" s="1998" t="s">
        <v>1008</v>
      </c>
      <c r="C259" s="1998" t="s">
        <v>1216</v>
      </c>
      <c r="F259" s="1999">
        <f>SUM(F251:F257)</f>
        <v>0</v>
      </c>
      <c r="G259" s="2001">
        <f>SUM(G251:G257)</f>
        <v>0</v>
      </c>
      <c r="H259" s="2001">
        <f>SUM(H251:H257)</f>
        <v>0</v>
      </c>
      <c r="I259" s="2001">
        <f>SUM(I251:I257)</f>
        <v>0</v>
      </c>
    </row>
    <row r="260" spans="2:9" ht="15" customHeight="1" thickBot="1">
      <c r="B260" s="2013"/>
      <c r="C260" s="2013" t="s">
        <v>1046</v>
      </c>
      <c r="D260" s="2014"/>
      <c r="E260" s="2014"/>
      <c r="F260" s="2026">
        <f>F258+F259</f>
        <v>-1.7423999999999999</v>
      </c>
      <c r="G260" s="2027">
        <f>G258+G259</f>
        <v>-2.4456180000000001</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1218</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1119</v>
      </c>
    </row>
    <row r="265" spans="2:9" ht="26">
      <c r="B265" s="1998"/>
      <c r="C265" s="1998"/>
      <c r="F265" s="2023" t="s">
        <v>968</v>
      </c>
      <c r="G265" s="1937" t="s">
        <v>980</v>
      </c>
      <c r="H265" s="1937" t="s">
        <v>985</v>
      </c>
      <c r="I265" s="2043" t="s">
        <v>1120</v>
      </c>
    </row>
    <row r="266" spans="2:9" ht="15" customHeight="1">
      <c r="B266" s="2028" t="s">
        <v>1011</v>
      </c>
      <c r="C266" s="1998"/>
      <c r="F266" s="2023" t="s">
        <v>141</v>
      </c>
      <c r="G266" s="1937" t="s">
        <v>141</v>
      </c>
      <c r="H266" s="1937" t="s">
        <v>141</v>
      </c>
      <c r="I266" s="1937" t="s">
        <v>141</v>
      </c>
    </row>
    <row r="267" spans="2:9" ht="15" customHeight="1">
      <c r="B267" s="1998" t="s">
        <v>1012</v>
      </c>
      <c r="C267" s="1998" t="s">
        <v>1201</v>
      </c>
      <c r="F267" s="1999">
        <v>0</v>
      </c>
      <c r="G267" s="2001">
        <v>0</v>
      </c>
      <c r="H267" s="2007"/>
      <c r="I267" s="2007"/>
    </row>
    <row r="268" spans="2:9" ht="15" customHeight="1">
      <c r="B268" s="1998" t="s">
        <v>1012</v>
      </c>
      <c r="C268" s="1998" t="s">
        <v>1202</v>
      </c>
      <c r="F268" s="1999">
        <v>-0.70199999999999996</v>
      </c>
      <c r="G268" s="2001">
        <v>-0.97499999999999998</v>
      </c>
      <c r="H268" s="2007"/>
      <c r="I268" s="2007"/>
    </row>
    <row r="269" spans="2:9" ht="15" customHeight="1">
      <c r="B269" s="1998" t="s">
        <v>1012</v>
      </c>
      <c r="C269" s="1998" t="s">
        <v>1203</v>
      </c>
      <c r="F269" s="1999">
        <v>0</v>
      </c>
      <c r="G269" s="2001">
        <v>0</v>
      </c>
      <c r="H269" s="2007"/>
      <c r="I269" s="2007"/>
    </row>
    <row r="270" spans="2:9" ht="15" customHeight="1">
      <c r="B270" s="1998" t="s">
        <v>1012</v>
      </c>
      <c r="C270" s="1998" t="s">
        <v>1204</v>
      </c>
      <c r="F270" s="1999">
        <v>0</v>
      </c>
      <c r="G270" s="2001">
        <v>0</v>
      </c>
      <c r="H270" s="2007"/>
      <c r="I270" s="2007"/>
    </row>
    <row r="271" spans="2:9" ht="15" customHeight="1">
      <c r="B271" s="1998" t="s">
        <v>1012</v>
      </c>
      <c r="C271" s="1998" t="s">
        <v>1205</v>
      </c>
      <c r="F271" s="1999">
        <v>0</v>
      </c>
      <c r="G271" s="2001">
        <v>0</v>
      </c>
      <c r="H271" s="2007"/>
      <c r="I271" s="2007"/>
    </row>
    <row r="272" spans="2:9" ht="15" customHeight="1">
      <c r="B272" s="1998" t="s">
        <v>1012</v>
      </c>
      <c r="C272" s="1998" t="s">
        <v>1206</v>
      </c>
      <c r="F272" s="1999">
        <v>0</v>
      </c>
      <c r="G272" s="2001">
        <v>0</v>
      </c>
      <c r="H272" s="2007"/>
      <c r="I272" s="2007"/>
    </row>
    <row r="273" spans="2:9" ht="15" customHeight="1">
      <c r="B273" s="2008" t="s">
        <v>1012</v>
      </c>
      <c r="C273" s="2008" t="s">
        <v>1207</v>
      </c>
      <c r="D273" s="2009"/>
      <c r="E273" s="2009"/>
      <c r="F273" s="2010">
        <v>0</v>
      </c>
      <c r="G273" s="2011">
        <v>0</v>
      </c>
      <c r="H273" s="2012"/>
      <c r="I273" s="2012"/>
    </row>
    <row r="274" spans="2:9" ht="15" customHeight="1">
      <c r="B274" s="1998" t="s">
        <v>1012</v>
      </c>
      <c r="C274" s="1998" t="s">
        <v>1208</v>
      </c>
      <c r="F274" s="1999">
        <v>0</v>
      </c>
      <c r="G274" s="2001">
        <v>0</v>
      </c>
      <c r="H274" s="2007"/>
      <c r="I274" s="2007"/>
    </row>
    <row r="275" spans="2:9" ht="15" customHeight="1">
      <c r="B275" s="1998" t="s">
        <v>1012</v>
      </c>
      <c r="C275" s="1998" t="s">
        <v>1209</v>
      </c>
      <c r="F275" s="1999">
        <v>0</v>
      </c>
      <c r="G275" s="2001">
        <v>0</v>
      </c>
      <c r="H275" s="2007"/>
      <c r="I275" s="2007"/>
    </row>
    <row r="276" spans="2:9" ht="15" customHeight="1">
      <c r="B276" s="1998" t="s">
        <v>1012</v>
      </c>
      <c r="C276" s="1998" t="s">
        <v>1210</v>
      </c>
      <c r="F276" s="1999">
        <v>0</v>
      </c>
      <c r="G276" s="2001">
        <v>0</v>
      </c>
      <c r="H276" s="2007"/>
      <c r="I276" s="2007"/>
    </row>
    <row r="277" spans="2:9" ht="15" customHeight="1">
      <c r="B277" s="1998" t="s">
        <v>1012</v>
      </c>
      <c r="C277" s="1998" t="s">
        <v>1211</v>
      </c>
      <c r="F277" s="1999">
        <v>0</v>
      </c>
      <c r="G277" s="2001">
        <v>0</v>
      </c>
      <c r="H277" s="2007"/>
      <c r="I277" s="2007"/>
    </row>
    <row r="278" spans="2:9" ht="15" customHeight="1">
      <c r="B278" s="1998" t="s">
        <v>1012</v>
      </c>
      <c r="C278" s="1998" t="s">
        <v>1212</v>
      </c>
      <c r="F278" s="1999">
        <v>0</v>
      </c>
      <c r="G278" s="2001">
        <v>0</v>
      </c>
      <c r="H278" s="2007"/>
      <c r="I278" s="2007"/>
    </row>
    <row r="279" spans="2:9" ht="15" customHeight="1">
      <c r="B279" s="1998" t="s">
        <v>1012</v>
      </c>
      <c r="C279" s="1998" t="s">
        <v>1213</v>
      </c>
      <c r="F279" s="1999">
        <v>0</v>
      </c>
      <c r="G279" s="2001">
        <v>0</v>
      </c>
      <c r="H279" s="2007"/>
      <c r="I279" s="2007"/>
    </row>
    <row r="280" spans="2:9" ht="15" customHeight="1">
      <c r="B280" s="1998" t="s">
        <v>1012</v>
      </c>
      <c r="C280" s="1998" t="s">
        <v>1214</v>
      </c>
      <c r="F280" s="1999">
        <v>0</v>
      </c>
      <c r="G280" s="2001">
        <v>0</v>
      </c>
      <c r="H280" s="2007"/>
      <c r="I280" s="2007"/>
    </row>
    <row r="281" spans="2:9" ht="15" customHeight="1">
      <c r="B281" s="1998" t="s">
        <v>1012</v>
      </c>
      <c r="C281" s="1998" t="s">
        <v>1215</v>
      </c>
      <c r="F281" s="1999">
        <f>SUM(F267:F273)</f>
        <v>-0.70199999999999996</v>
      </c>
      <c r="G281" s="2001">
        <f>SUM(G267:G273)</f>
        <v>-0.97499999999999998</v>
      </c>
      <c r="H281" s="2001">
        <f>SUM(H267:H273)</f>
        <v>0</v>
      </c>
      <c r="I281" s="2001">
        <f>SUM(I267:I273)</f>
        <v>0</v>
      </c>
    </row>
    <row r="282" spans="2:9" ht="15" customHeight="1">
      <c r="B282" s="1998" t="s">
        <v>1012</v>
      </c>
      <c r="C282" s="1998" t="s">
        <v>1216</v>
      </c>
      <c r="F282" s="1999">
        <f>SUM(F274:F280)</f>
        <v>0</v>
      </c>
      <c r="G282" s="2001">
        <f>SUM(G274:G280)</f>
        <v>0</v>
      </c>
      <c r="H282" s="2001">
        <f>SUM(H274:H280)</f>
        <v>0</v>
      </c>
      <c r="I282" s="2001">
        <f>SUM(I274:I280)</f>
        <v>0</v>
      </c>
    </row>
    <row r="283" spans="2:9" ht="15" customHeight="1" thickBot="1">
      <c r="B283" s="2013"/>
      <c r="C283" s="2025" t="s">
        <v>1046</v>
      </c>
      <c r="D283" s="2014"/>
      <c r="E283" s="2014"/>
      <c r="F283" s="2026">
        <f>F281+F282</f>
        <v>-0.70199999999999996</v>
      </c>
      <c r="G283" s="2027">
        <f>G281+G282</f>
        <v>-0.97499999999999998</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1218</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1119</v>
      </c>
    </row>
    <row r="288" spans="2:9" ht="26">
      <c r="B288" s="1998"/>
      <c r="C288" s="1998"/>
      <c r="F288" s="2023" t="s">
        <v>968</v>
      </c>
      <c r="G288" s="1937" t="s">
        <v>980</v>
      </c>
      <c r="H288" s="1937" t="s">
        <v>985</v>
      </c>
      <c r="I288" s="2043" t="s">
        <v>1120</v>
      </c>
    </row>
    <row r="289" spans="2:10" ht="15" customHeight="1">
      <c r="B289" s="2028" t="s">
        <v>1014</v>
      </c>
      <c r="C289" s="1998"/>
      <c r="F289" s="2023" t="s">
        <v>141</v>
      </c>
      <c r="G289" s="1937" t="s">
        <v>141</v>
      </c>
      <c r="H289" s="1937" t="s">
        <v>141</v>
      </c>
      <c r="I289" s="1937" t="s">
        <v>141</v>
      </c>
    </row>
    <row r="290" spans="2:10" ht="15" customHeight="1">
      <c r="B290" s="1998" t="s">
        <v>1015</v>
      </c>
      <c r="C290" s="1998" t="s">
        <v>1201</v>
      </c>
      <c r="F290" s="1999">
        <v>0</v>
      </c>
      <c r="G290" s="2001">
        <v>0</v>
      </c>
      <c r="H290" s="2007"/>
      <c r="I290" s="2007"/>
    </row>
    <row r="291" spans="2:10" ht="15" customHeight="1">
      <c r="B291" s="1998" t="s">
        <v>1015</v>
      </c>
      <c r="C291" s="1998" t="s">
        <v>1202</v>
      </c>
      <c r="F291" s="1999">
        <v>-1.6428</v>
      </c>
      <c r="G291" s="2001">
        <v>-2.5752000000000002</v>
      </c>
      <c r="H291" s="2007"/>
      <c r="I291" s="2007"/>
    </row>
    <row r="292" spans="2:10" ht="15" customHeight="1">
      <c r="B292" s="1998" t="s">
        <v>1015</v>
      </c>
      <c r="C292" s="1998" t="s">
        <v>1203</v>
      </c>
      <c r="F292" s="1999">
        <v>0</v>
      </c>
      <c r="G292" s="2001">
        <v>0</v>
      </c>
      <c r="H292" s="2007"/>
      <c r="I292" s="2007"/>
    </row>
    <row r="293" spans="2:10" ht="15" customHeight="1">
      <c r="B293" s="1998" t="s">
        <v>1015</v>
      </c>
      <c r="C293" s="1998" t="s">
        <v>1204</v>
      </c>
      <c r="F293" s="1999">
        <v>0</v>
      </c>
      <c r="G293" s="2001">
        <v>0</v>
      </c>
      <c r="H293" s="2007"/>
      <c r="I293" s="2007"/>
    </row>
    <row r="294" spans="2:10" ht="15" customHeight="1">
      <c r="B294" s="1998" t="s">
        <v>1015</v>
      </c>
      <c r="C294" s="1998" t="s">
        <v>1205</v>
      </c>
      <c r="F294" s="1999">
        <v>0</v>
      </c>
      <c r="G294" s="2001">
        <v>0</v>
      </c>
      <c r="H294" s="2007"/>
      <c r="I294" s="2007"/>
    </row>
    <row r="295" spans="2:10" ht="15" customHeight="1">
      <c r="B295" s="1998" t="s">
        <v>1015</v>
      </c>
      <c r="C295" s="1998" t="s">
        <v>1206</v>
      </c>
      <c r="F295" s="1999">
        <v>0</v>
      </c>
      <c r="G295" s="2001">
        <v>0</v>
      </c>
      <c r="H295" s="2007"/>
      <c r="I295" s="2007"/>
    </row>
    <row r="296" spans="2:10" ht="15" customHeight="1">
      <c r="B296" s="2008" t="s">
        <v>1015</v>
      </c>
      <c r="C296" s="2008" t="s">
        <v>1207</v>
      </c>
      <c r="D296" s="2009"/>
      <c r="E296" s="2009"/>
      <c r="F296" s="2010">
        <v>0</v>
      </c>
      <c r="G296" s="2011">
        <v>0</v>
      </c>
      <c r="H296" s="2012"/>
      <c r="I296" s="2012"/>
      <c r="J296" s="643"/>
    </row>
    <row r="297" spans="2:10" ht="15" customHeight="1">
      <c r="B297" s="1998" t="s">
        <v>1015</v>
      </c>
      <c r="C297" s="1998" t="s">
        <v>1208</v>
      </c>
      <c r="F297" s="1999">
        <v>0</v>
      </c>
      <c r="G297" s="2001">
        <v>0</v>
      </c>
      <c r="H297" s="2007"/>
      <c r="I297" s="2007"/>
    </row>
    <row r="298" spans="2:10" ht="15" customHeight="1">
      <c r="B298" s="1998" t="s">
        <v>1015</v>
      </c>
      <c r="C298" s="1998" t="s">
        <v>1209</v>
      </c>
      <c r="F298" s="1999">
        <v>0</v>
      </c>
      <c r="G298" s="2001">
        <v>0</v>
      </c>
      <c r="H298" s="2007"/>
      <c r="I298" s="2007"/>
    </row>
    <row r="299" spans="2:10" ht="15" customHeight="1">
      <c r="B299" s="1998" t="s">
        <v>1015</v>
      </c>
      <c r="C299" s="1998" t="s">
        <v>1210</v>
      </c>
      <c r="F299" s="1999">
        <v>0</v>
      </c>
      <c r="G299" s="2001">
        <v>0</v>
      </c>
      <c r="H299" s="2007"/>
      <c r="I299" s="2007"/>
    </row>
    <row r="300" spans="2:10" ht="15" customHeight="1">
      <c r="B300" s="1998" t="s">
        <v>1015</v>
      </c>
      <c r="C300" s="1998" t="s">
        <v>1211</v>
      </c>
      <c r="F300" s="1999">
        <v>0</v>
      </c>
      <c r="G300" s="2001">
        <v>0</v>
      </c>
      <c r="H300" s="2007"/>
      <c r="I300" s="2007"/>
    </row>
    <row r="301" spans="2:10" ht="15" customHeight="1">
      <c r="B301" s="1998" t="s">
        <v>1015</v>
      </c>
      <c r="C301" s="1998" t="s">
        <v>1212</v>
      </c>
      <c r="F301" s="1999">
        <v>0</v>
      </c>
      <c r="G301" s="2001">
        <v>0</v>
      </c>
      <c r="H301" s="2007"/>
      <c r="I301" s="2007"/>
    </row>
    <row r="302" spans="2:10" ht="15" customHeight="1">
      <c r="B302" s="1998" t="s">
        <v>1015</v>
      </c>
      <c r="C302" s="1998" t="s">
        <v>1213</v>
      </c>
      <c r="F302" s="1999">
        <v>0</v>
      </c>
      <c r="G302" s="2001">
        <v>0</v>
      </c>
      <c r="H302" s="2007"/>
      <c r="I302" s="2007"/>
    </row>
    <row r="303" spans="2:10" ht="15" customHeight="1">
      <c r="B303" s="1998" t="s">
        <v>1015</v>
      </c>
      <c r="C303" s="1998" t="s">
        <v>1214</v>
      </c>
      <c r="F303" s="1999">
        <v>0</v>
      </c>
      <c r="G303" s="2001">
        <v>0</v>
      </c>
      <c r="H303" s="2007"/>
      <c r="I303" s="2007"/>
    </row>
    <row r="304" spans="2:10" ht="15" customHeight="1">
      <c r="B304" s="1998" t="s">
        <v>1015</v>
      </c>
      <c r="C304" s="1998" t="s">
        <v>1215</v>
      </c>
      <c r="F304" s="1999">
        <f>SUM(F290:F296)</f>
        <v>-1.6428</v>
      </c>
      <c r="G304" s="2001">
        <f>SUM(G290:G296)</f>
        <v>-2.5752000000000002</v>
      </c>
      <c r="H304" s="2001">
        <f>SUM(H290:H296)</f>
        <v>0</v>
      </c>
      <c r="I304" s="2001">
        <f>SUM(I290:I296)</f>
        <v>0</v>
      </c>
    </row>
    <row r="305" spans="2:9" ht="15" customHeight="1">
      <c r="B305" s="1998" t="s">
        <v>1015</v>
      </c>
      <c r="C305" s="1998" t="s">
        <v>1216</v>
      </c>
      <c r="F305" s="1999">
        <f>SUM(F297:F303)</f>
        <v>0</v>
      </c>
      <c r="G305" s="2001">
        <f>SUM(G297:G303)</f>
        <v>0</v>
      </c>
      <c r="H305" s="2001">
        <f>SUM(H297:H303)</f>
        <v>0</v>
      </c>
      <c r="I305" s="2001">
        <f>SUM(I297:I303)</f>
        <v>0</v>
      </c>
    </row>
    <row r="306" spans="2:9" ht="15" customHeight="1" thickBot="1">
      <c r="B306" s="2013"/>
      <c r="C306" s="2025" t="s">
        <v>1046</v>
      </c>
      <c r="D306" s="2014"/>
      <c r="E306" s="2014"/>
      <c r="F306" s="2026">
        <f>F304+F305</f>
        <v>-1.6428</v>
      </c>
      <c r="G306" s="2027">
        <f>G304+G305</f>
        <v>-2.5752000000000002</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1221</v>
      </c>
      <c r="C308" s="2030"/>
      <c r="D308" s="2031"/>
      <c r="E308" s="2031"/>
      <c r="F308" s="2032"/>
      <c r="G308" s="2032"/>
      <c r="H308" s="2032"/>
      <c r="I308" s="2032"/>
    </row>
    <row r="309" spans="2:9" ht="15" customHeight="1">
      <c r="B309" s="2033" t="s">
        <v>1184</v>
      </c>
      <c r="C309" s="2030"/>
      <c r="D309" s="2031"/>
      <c r="E309" s="2031"/>
      <c r="F309" s="2032"/>
      <c r="G309" s="2032"/>
      <c r="H309" s="2032"/>
      <c r="I309" s="2032"/>
    </row>
    <row r="310" spans="2:9" ht="15" customHeight="1">
      <c r="B310" s="1998"/>
      <c r="C310" s="1998"/>
      <c r="F310" s="1998"/>
      <c r="I310" s="462" t="s">
        <v>1119</v>
      </c>
    </row>
    <row r="311" spans="2:9" ht="26">
      <c r="B311" s="1998"/>
      <c r="C311" s="1998"/>
      <c r="F311" s="2023" t="s">
        <v>968</v>
      </c>
      <c r="G311" s="1937" t="s">
        <v>980</v>
      </c>
      <c r="H311" s="1937" t="s">
        <v>985</v>
      </c>
      <c r="I311" s="2043" t="s">
        <v>1120</v>
      </c>
    </row>
    <row r="312" spans="2:9" ht="15" customHeight="1">
      <c r="B312" s="2028" t="s">
        <v>1017</v>
      </c>
      <c r="C312" s="1998"/>
      <c r="F312" s="2023" t="s">
        <v>141</v>
      </c>
      <c r="G312" s="1937" t="s">
        <v>141</v>
      </c>
      <c r="H312" s="1937" t="s">
        <v>141</v>
      </c>
      <c r="I312" s="1937" t="s">
        <v>141</v>
      </c>
    </row>
    <row r="313" spans="2:9" ht="15" customHeight="1">
      <c r="B313" s="1998" t="s">
        <v>1018</v>
      </c>
      <c r="C313" s="1998" t="s">
        <v>1201</v>
      </c>
      <c r="F313" s="1999">
        <v>-0.80630999999999997</v>
      </c>
      <c r="G313" s="2001">
        <v>-1.2138</v>
      </c>
      <c r="H313" s="2007"/>
      <c r="I313" s="2007"/>
    </row>
    <row r="314" spans="2:9" ht="15" customHeight="1">
      <c r="B314" s="1998" t="s">
        <v>1018</v>
      </c>
      <c r="C314" s="1998" t="s">
        <v>1202</v>
      </c>
      <c r="F314" s="1999">
        <v>-1.8813899999999999</v>
      </c>
      <c r="G314" s="2001">
        <v>-2.8321999999999998</v>
      </c>
      <c r="H314" s="2007"/>
      <c r="I314" s="2007"/>
    </row>
    <row r="315" spans="2:9" ht="15" customHeight="1">
      <c r="B315" s="1998" t="s">
        <v>1018</v>
      </c>
      <c r="C315" s="1998" t="s">
        <v>1203</v>
      </c>
      <c r="F315" s="1999">
        <v>0</v>
      </c>
      <c r="G315" s="2001">
        <v>0</v>
      </c>
      <c r="H315" s="2007"/>
      <c r="I315" s="2007"/>
    </row>
    <row r="316" spans="2:9" ht="15" customHeight="1">
      <c r="B316" s="1998" t="s">
        <v>1018</v>
      </c>
      <c r="C316" s="1998" t="s">
        <v>1204</v>
      </c>
      <c r="F316" s="1999">
        <v>0</v>
      </c>
      <c r="G316" s="2001">
        <v>0</v>
      </c>
      <c r="H316" s="2007"/>
      <c r="I316" s="2007"/>
    </row>
    <row r="317" spans="2:9" ht="15" customHeight="1">
      <c r="B317" s="1998" t="s">
        <v>1018</v>
      </c>
      <c r="C317" s="1998" t="s">
        <v>1205</v>
      </c>
      <c r="F317" s="1999">
        <v>0</v>
      </c>
      <c r="G317" s="2001">
        <v>0</v>
      </c>
      <c r="H317" s="2007"/>
      <c r="I317" s="2007"/>
    </row>
    <row r="318" spans="2:9" ht="15" customHeight="1">
      <c r="B318" s="1998" t="s">
        <v>1018</v>
      </c>
      <c r="C318" s="1998" t="s">
        <v>1206</v>
      </c>
      <c r="F318" s="1999">
        <v>0</v>
      </c>
      <c r="G318" s="2001">
        <v>0</v>
      </c>
      <c r="H318" s="2007"/>
      <c r="I318" s="2007"/>
    </row>
    <row r="319" spans="2:9" ht="15" customHeight="1">
      <c r="B319" s="2008" t="s">
        <v>1018</v>
      </c>
      <c r="C319" s="2008" t="s">
        <v>1207</v>
      </c>
      <c r="D319" s="2009"/>
      <c r="E319" s="2009"/>
      <c r="F319" s="2010">
        <v>0</v>
      </c>
      <c r="G319" s="2011">
        <v>0</v>
      </c>
      <c r="H319" s="2012"/>
      <c r="I319" s="2012"/>
    </row>
    <row r="320" spans="2:9" ht="15" customHeight="1">
      <c r="B320" s="1998" t="s">
        <v>1018</v>
      </c>
      <c r="C320" s="1998" t="s">
        <v>1208</v>
      </c>
      <c r="F320" s="1999">
        <v>0</v>
      </c>
      <c r="G320" s="2001">
        <v>0</v>
      </c>
      <c r="H320" s="2007"/>
      <c r="I320" s="2007"/>
    </row>
    <row r="321" spans="2:9" ht="15" customHeight="1">
      <c r="B321" s="1998" t="s">
        <v>1018</v>
      </c>
      <c r="C321" s="1998" t="s">
        <v>1209</v>
      </c>
      <c r="F321" s="1999">
        <v>0</v>
      </c>
      <c r="G321" s="2001">
        <v>0</v>
      </c>
      <c r="H321" s="2007"/>
      <c r="I321" s="2007"/>
    </row>
    <row r="322" spans="2:9" ht="15" customHeight="1">
      <c r="B322" s="1998" t="s">
        <v>1018</v>
      </c>
      <c r="C322" s="1998" t="s">
        <v>1210</v>
      </c>
      <c r="F322" s="1999">
        <v>0</v>
      </c>
      <c r="G322" s="2001">
        <v>0</v>
      </c>
      <c r="H322" s="2007"/>
      <c r="I322" s="2007"/>
    </row>
    <row r="323" spans="2:9" ht="15" customHeight="1">
      <c r="B323" s="1998" t="s">
        <v>1018</v>
      </c>
      <c r="C323" s="1998" t="s">
        <v>1211</v>
      </c>
      <c r="F323" s="1999">
        <v>0</v>
      </c>
      <c r="G323" s="2001">
        <v>0</v>
      </c>
      <c r="H323" s="2007"/>
      <c r="I323" s="2007"/>
    </row>
    <row r="324" spans="2:9" ht="15" customHeight="1">
      <c r="B324" s="1998" t="s">
        <v>1018</v>
      </c>
      <c r="C324" s="1998" t="s">
        <v>1212</v>
      </c>
      <c r="F324" s="1999">
        <v>0</v>
      </c>
      <c r="G324" s="2001">
        <v>0</v>
      </c>
      <c r="H324" s="2007"/>
      <c r="I324" s="2007"/>
    </row>
    <row r="325" spans="2:9" ht="15" customHeight="1">
      <c r="B325" s="1998" t="s">
        <v>1018</v>
      </c>
      <c r="C325" s="1998" t="s">
        <v>1213</v>
      </c>
      <c r="F325" s="1999">
        <v>0</v>
      </c>
      <c r="G325" s="2001">
        <v>0</v>
      </c>
      <c r="H325" s="2007"/>
      <c r="I325" s="2007"/>
    </row>
    <row r="326" spans="2:9" ht="15" customHeight="1">
      <c r="B326" s="1998" t="s">
        <v>1018</v>
      </c>
      <c r="C326" s="1998" t="s">
        <v>1214</v>
      </c>
      <c r="F326" s="1999">
        <v>0</v>
      </c>
      <c r="G326" s="2001">
        <v>0</v>
      </c>
      <c r="H326" s="2007"/>
      <c r="I326" s="2007"/>
    </row>
    <row r="327" spans="2:9" ht="15" customHeight="1">
      <c r="B327" s="1998" t="s">
        <v>1018</v>
      </c>
      <c r="C327" s="1998" t="s">
        <v>1215</v>
      </c>
      <c r="F327" s="1999">
        <f>SUM(F313:F319)</f>
        <v>-2.6877</v>
      </c>
      <c r="G327" s="2001">
        <f>SUM(G313:G319)</f>
        <v>-4.0459999999999994</v>
      </c>
      <c r="H327" s="2001">
        <f>SUM(H313:H319)</f>
        <v>0</v>
      </c>
      <c r="I327" s="2001">
        <f>SUM(I313:I319)</f>
        <v>0</v>
      </c>
    </row>
    <row r="328" spans="2:9" ht="15" customHeight="1">
      <c r="B328" s="1998" t="s">
        <v>1018</v>
      </c>
      <c r="C328" s="1998" t="s">
        <v>1216</v>
      </c>
      <c r="F328" s="1999">
        <f>SUM(F320:F326)</f>
        <v>0</v>
      </c>
      <c r="G328" s="2001">
        <f>SUM(G320:G326)</f>
        <v>0</v>
      </c>
      <c r="H328" s="2001">
        <f>SUM(H320:H326)</f>
        <v>0</v>
      </c>
      <c r="I328" s="2001">
        <f>SUM(I320:I326)</f>
        <v>0</v>
      </c>
    </row>
    <row r="329" spans="2:9" ht="15" customHeight="1" thickBot="1">
      <c r="B329" s="2013"/>
      <c r="C329" s="2025" t="s">
        <v>1046</v>
      </c>
      <c r="D329" s="2014"/>
      <c r="E329" s="2014"/>
      <c r="F329" s="2026">
        <f>F327+F328</f>
        <v>-2.6877</v>
      </c>
      <c r="G329" s="2027">
        <f>G327+G328</f>
        <v>-4.0459999999999994</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1218</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1119</v>
      </c>
    </row>
    <row r="334" spans="2:9" ht="26">
      <c r="B334" s="1998"/>
      <c r="C334" s="1998"/>
      <c r="F334" s="2023" t="s">
        <v>968</v>
      </c>
      <c r="G334" s="1937" t="s">
        <v>980</v>
      </c>
      <c r="H334" s="1937" t="s">
        <v>985</v>
      </c>
      <c r="I334" s="2043" t="s">
        <v>1120</v>
      </c>
    </row>
    <row r="335" spans="2:9" ht="15" customHeight="1">
      <c r="B335" s="2028" t="s">
        <v>1021</v>
      </c>
      <c r="C335" s="1998"/>
      <c r="F335" s="2023" t="s">
        <v>141</v>
      </c>
      <c r="G335" s="1937" t="s">
        <v>141</v>
      </c>
      <c r="H335" s="1937" t="s">
        <v>141</v>
      </c>
      <c r="I335" s="1937" t="s">
        <v>141</v>
      </c>
    </row>
    <row r="336" spans="2:9" ht="15" customHeight="1">
      <c r="B336" s="1998" t="s">
        <v>1022</v>
      </c>
      <c r="C336" s="1998" t="s">
        <v>1201</v>
      </c>
      <c r="F336" s="1999">
        <v>0</v>
      </c>
      <c r="G336" s="2001">
        <v>0</v>
      </c>
      <c r="H336" s="2007"/>
      <c r="I336" s="2007"/>
    </row>
    <row r="337" spans="2:9" ht="15" customHeight="1">
      <c r="B337" s="1998" t="s">
        <v>1022</v>
      </c>
      <c r="C337" s="1998" t="s">
        <v>1202</v>
      </c>
      <c r="F337" s="1999">
        <v>-8.8499999999999801E-2</v>
      </c>
      <c r="G337" s="2001">
        <v>-0.13650000000000001</v>
      </c>
      <c r="H337" s="2007"/>
      <c r="I337" s="2007"/>
    </row>
    <row r="338" spans="2:9" ht="15" customHeight="1">
      <c r="B338" s="1998" t="s">
        <v>1022</v>
      </c>
      <c r="C338" s="1998" t="s">
        <v>1203</v>
      </c>
      <c r="F338" s="1999">
        <v>0</v>
      </c>
      <c r="G338" s="2001">
        <v>0</v>
      </c>
      <c r="H338" s="2007"/>
      <c r="I338" s="2007"/>
    </row>
    <row r="339" spans="2:9" ht="15" customHeight="1">
      <c r="B339" s="1998" t="s">
        <v>1022</v>
      </c>
      <c r="C339" s="1998" t="s">
        <v>1204</v>
      </c>
      <c r="F339" s="1999">
        <v>0</v>
      </c>
      <c r="G339" s="2001">
        <v>0</v>
      </c>
      <c r="H339" s="2007"/>
      <c r="I339" s="2007"/>
    </row>
    <row r="340" spans="2:9" ht="15" customHeight="1">
      <c r="B340" s="1998" t="s">
        <v>1022</v>
      </c>
      <c r="C340" s="1998" t="s">
        <v>1205</v>
      </c>
      <c r="F340" s="1999">
        <v>-8.8499999999999995E-2</v>
      </c>
      <c r="G340" s="2001">
        <v>-0.13650000000000001</v>
      </c>
      <c r="H340" s="2007"/>
      <c r="I340" s="2007"/>
    </row>
    <row r="341" spans="2:9" ht="15" customHeight="1">
      <c r="B341" s="1998" t="s">
        <v>1022</v>
      </c>
      <c r="C341" s="1998" t="s">
        <v>1206</v>
      </c>
      <c r="F341" s="1999">
        <v>0</v>
      </c>
      <c r="G341" s="2001">
        <v>0</v>
      </c>
      <c r="H341" s="2007"/>
      <c r="I341" s="2007"/>
    </row>
    <row r="342" spans="2:9" ht="15" customHeight="1">
      <c r="B342" s="2008" t="s">
        <v>1022</v>
      </c>
      <c r="C342" s="2008" t="s">
        <v>1207</v>
      </c>
      <c r="D342" s="2009"/>
      <c r="E342" s="2009"/>
      <c r="F342" s="2010">
        <v>0</v>
      </c>
      <c r="G342" s="2011">
        <v>0</v>
      </c>
      <c r="H342" s="2012"/>
      <c r="I342" s="2012"/>
    </row>
    <row r="343" spans="2:9" ht="15" customHeight="1">
      <c r="B343" s="1998" t="s">
        <v>1022</v>
      </c>
      <c r="C343" s="1998" t="s">
        <v>1208</v>
      </c>
      <c r="F343" s="1999">
        <v>0</v>
      </c>
      <c r="G343" s="2001">
        <v>0</v>
      </c>
      <c r="H343" s="2007"/>
      <c r="I343" s="2007"/>
    </row>
    <row r="344" spans="2:9" ht="15" customHeight="1">
      <c r="B344" s="1998" t="s">
        <v>1022</v>
      </c>
      <c r="C344" s="1998" t="s">
        <v>1209</v>
      </c>
      <c r="F344" s="1999">
        <v>0</v>
      </c>
      <c r="G344" s="2001">
        <v>0</v>
      </c>
      <c r="H344" s="2007"/>
      <c r="I344" s="2007"/>
    </row>
    <row r="345" spans="2:9" ht="15" customHeight="1">
      <c r="B345" s="1998" t="s">
        <v>1022</v>
      </c>
      <c r="C345" s="1998" t="s">
        <v>1210</v>
      </c>
      <c r="F345" s="1999">
        <v>0</v>
      </c>
      <c r="G345" s="2001">
        <v>0</v>
      </c>
      <c r="H345" s="2007"/>
      <c r="I345" s="2007"/>
    </row>
    <row r="346" spans="2:9" ht="15" customHeight="1">
      <c r="B346" s="1998" t="s">
        <v>1022</v>
      </c>
      <c r="C346" s="1998" t="s">
        <v>1211</v>
      </c>
      <c r="F346" s="1999">
        <v>0</v>
      </c>
      <c r="G346" s="2001">
        <v>0</v>
      </c>
      <c r="H346" s="2007"/>
      <c r="I346" s="2007"/>
    </row>
    <row r="347" spans="2:9" ht="15" customHeight="1">
      <c r="B347" s="1998" t="s">
        <v>1022</v>
      </c>
      <c r="C347" s="1998" t="s">
        <v>1212</v>
      </c>
      <c r="F347" s="1999">
        <v>0</v>
      </c>
      <c r="G347" s="2001">
        <v>0</v>
      </c>
      <c r="H347" s="2007"/>
      <c r="I347" s="2007"/>
    </row>
    <row r="348" spans="2:9" ht="15" customHeight="1">
      <c r="B348" s="1998" t="s">
        <v>1022</v>
      </c>
      <c r="C348" s="1998" t="s">
        <v>1213</v>
      </c>
      <c r="F348" s="1999">
        <v>0</v>
      </c>
      <c r="G348" s="2001">
        <v>0</v>
      </c>
      <c r="H348" s="2007"/>
      <c r="I348" s="2007"/>
    </row>
    <row r="349" spans="2:9" ht="15" customHeight="1">
      <c r="B349" s="1998" t="s">
        <v>1022</v>
      </c>
      <c r="C349" s="1998" t="s">
        <v>1214</v>
      </c>
      <c r="F349" s="1999">
        <v>0</v>
      </c>
      <c r="G349" s="2001">
        <v>0</v>
      </c>
      <c r="H349" s="2007"/>
      <c r="I349" s="2007"/>
    </row>
    <row r="350" spans="2:9" ht="15" customHeight="1">
      <c r="B350" s="1998" t="s">
        <v>1022</v>
      </c>
      <c r="C350" s="1998" t="s">
        <v>1215</v>
      </c>
      <c r="F350" s="1999">
        <f>SUM(F336:F342)</f>
        <v>-0.1769999999999998</v>
      </c>
      <c r="G350" s="2001">
        <f>SUM(G336:G342)</f>
        <v>-0.27300000000000002</v>
      </c>
      <c r="H350" s="2001">
        <f>SUM(H336:H342)</f>
        <v>0</v>
      </c>
      <c r="I350" s="2001">
        <f>SUM(I336:I342)</f>
        <v>0</v>
      </c>
    </row>
    <row r="351" spans="2:9" ht="15" customHeight="1">
      <c r="B351" s="1998" t="s">
        <v>1022</v>
      </c>
      <c r="C351" s="1998" t="s">
        <v>1216</v>
      </c>
      <c r="F351" s="1999">
        <f>SUM(F343:F349)</f>
        <v>0</v>
      </c>
      <c r="G351" s="2001">
        <f>SUM(G343:G349)</f>
        <v>0</v>
      </c>
      <c r="H351" s="2001">
        <f>SUM(H343:H349)</f>
        <v>0</v>
      </c>
      <c r="I351" s="2001">
        <f>SUM(I343:I349)</f>
        <v>0</v>
      </c>
    </row>
    <row r="352" spans="2:9" ht="15" customHeight="1" thickBot="1">
      <c r="B352" s="2013"/>
      <c r="C352" s="2025" t="s">
        <v>1046</v>
      </c>
      <c r="D352" s="2014"/>
      <c r="E352" s="2014"/>
      <c r="F352" s="2026">
        <f>F350+F351</f>
        <v>-0.1769999999999998</v>
      </c>
      <c r="G352" s="2027">
        <f>G350+G351</f>
        <v>-0.27300000000000002</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1218</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1119</v>
      </c>
    </row>
    <row r="357" spans="2:9" ht="26">
      <c r="B357" s="1998"/>
      <c r="C357" s="1998"/>
      <c r="F357" s="2023" t="s">
        <v>968</v>
      </c>
      <c r="G357" s="1937" t="s">
        <v>980</v>
      </c>
      <c r="H357" s="1937" t="s">
        <v>985</v>
      </c>
      <c r="I357" s="2043" t="s">
        <v>1120</v>
      </c>
    </row>
    <row r="358" spans="2:9" ht="15" customHeight="1">
      <c r="B358" s="2028" t="s">
        <v>1025</v>
      </c>
      <c r="C358" s="1998"/>
      <c r="F358" s="2023" t="s">
        <v>141</v>
      </c>
      <c r="G358" s="1937" t="s">
        <v>141</v>
      </c>
      <c r="H358" s="1937" t="s">
        <v>141</v>
      </c>
      <c r="I358" s="1937" t="s">
        <v>141</v>
      </c>
    </row>
    <row r="359" spans="2:9" ht="15" customHeight="1">
      <c r="B359" s="1998" t="s">
        <v>1026</v>
      </c>
      <c r="C359" s="1998" t="s">
        <v>1201</v>
      </c>
      <c r="F359" s="1999">
        <v>-0.32340000000000002</v>
      </c>
      <c r="G359" s="2001">
        <v>-0.48180000000000001</v>
      </c>
      <c r="H359" s="2007"/>
      <c r="I359" s="2007"/>
    </row>
    <row r="360" spans="2:9" ht="15" customHeight="1">
      <c r="B360" s="1998" t="s">
        <v>1026</v>
      </c>
      <c r="C360" s="1998" t="s">
        <v>1202</v>
      </c>
      <c r="F360" s="1999">
        <v>0</v>
      </c>
      <c r="G360" s="2001">
        <v>0</v>
      </c>
      <c r="H360" s="2007"/>
      <c r="I360" s="2007"/>
    </row>
    <row r="361" spans="2:9" ht="15" customHeight="1">
      <c r="B361" s="1998" t="s">
        <v>1026</v>
      </c>
      <c r="C361" s="1998" t="s">
        <v>1203</v>
      </c>
      <c r="F361" s="1999">
        <v>0</v>
      </c>
      <c r="G361" s="2001">
        <v>0</v>
      </c>
      <c r="H361" s="2007"/>
      <c r="I361" s="2007"/>
    </row>
    <row r="362" spans="2:9" ht="15" customHeight="1">
      <c r="B362" s="1998" t="s">
        <v>1026</v>
      </c>
      <c r="C362" s="1998" t="s">
        <v>1204</v>
      </c>
      <c r="F362" s="1999">
        <v>0</v>
      </c>
      <c r="G362" s="2001">
        <v>0</v>
      </c>
      <c r="H362" s="2007"/>
      <c r="I362" s="2007"/>
    </row>
    <row r="363" spans="2:9" ht="15" customHeight="1">
      <c r="B363" s="1998" t="s">
        <v>1026</v>
      </c>
      <c r="C363" s="1998" t="s">
        <v>1205</v>
      </c>
      <c r="F363" s="1999">
        <v>0</v>
      </c>
      <c r="G363" s="2001">
        <v>0</v>
      </c>
      <c r="H363" s="2007"/>
      <c r="I363" s="2007"/>
    </row>
    <row r="364" spans="2:9" ht="15" customHeight="1">
      <c r="B364" s="1998" t="s">
        <v>1026</v>
      </c>
      <c r="C364" s="1998" t="s">
        <v>1206</v>
      </c>
      <c r="F364" s="1999">
        <v>0</v>
      </c>
      <c r="G364" s="2001">
        <v>0</v>
      </c>
      <c r="H364" s="2007"/>
      <c r="I364" s="2007"/>
    </row>
    <row r="365" spans="2:9" ht="15" customHeight="1">
      <c r="B365" s="2008" t="s">
        <v>1026</v>
      </c>
      <c r="C365" s="2008" t="s">
        <v>1207</v>
      </c>
      <c r="D365" s="2009"/>
      <c r="E365" s="2009"/>
      <c r="F365" s="2010">
        <v>0</v>
      </c>
      <c r="G365" s="2011">
        <v>0</v>
      </c>
      <c r="H365" s="2012"/>
      <c r="I365" s="2012"/>
    </row>
    <row r="366" spans="2:9" ht="15" customHeight="1">
      <c r="B366" s="1998" t="s">
        <v>1026</v>
      </c>
      <c r="C366" s="1998" t="s">
        <v>1208</v>
      </c>
      <c r="F366" s="1999">
        <v>0</v>
      </c>
      <c r="G366" s="2001">
        <v>0</v>
      </c>
      <c r="H366" s="2007"/>
      <c r="I366" s="2007"/>
    </row>
    <row r="367" spans="2:9" ht="15" customHeight="1">
      <c r="B367" s="1998" t="s">
        <v>1026</v>
      </c>
      <c r="C367" s="1998" t="s">
        <v>1209</v>
      </c>
      <c r="F367" s="1999">
        <v>0</v>
      </c>
      <c r="G367" s="2001">
        <v>0</v>
      </c>
      <c r="H367" s="2007"/>
      <c r="I367" s="2007"/>
    </row>
    <row r="368" spans="2:9" ht="15" customHeight="1">
      <c r="B368" s="1998" t="s">
        <v>1026</v>
      </c>
      <c r="C368" s="1998" t="s">
        <v>1210</v>
      </c>
      <c r="F368" s="1999">
        <v>0</v>
      </c>
      <c r="G368" s="2001">
        <v>0</v>
      </c>
      <c r="H368" s="2007"/>
      <c r="I368" s="2007"/>
    </row>
    <row r="369" spans="2:9" ht="15" customHeight="1">
      <c r="B369" s="1998" t="s">
        <v>1026</v>
      </c>
      <c r="C369" s="1998" t="s">
        <v>1211</v>
      </c>
      <c r="F369" s="1999">
        <v>0</v>
      </c>
      <c r="G369" s="2001">
        <v>0</v>
      </c>
      <c r="H369" s="2007"/>
      <c r="I369" s="2007"/>
    </row>
    <row r="370" spans="2:9" ht="15" customHeight="1">
      <c r="B370" s="1998" t="s">
        <v>1026</v>
      </c>
      <c r="C370" s="1998" t="s">
        <v>1212</v>
      </c>
      <c r="F370" s="1999">
        <v>0</v>
      </c>
      <c r="G370" s="2001">
        <v>0</v>
      </c>
      <c r="H370" s="2007"/>
      <c r="I370" s="2007"/>
    </row>
    <row r="371" spans="2:9" ht="15" customHeight="1">
      <c r="B371" s="1998" t="s">
        <v>1026</v>
      </c>
      <c r="C371" s="1998" t="s">
        <v>1213</v>
      </c>
      <c r="F371" s="1999">
        <v>0</v>
      </c>
      <c r="G371" s="2001">
        <v>0</v>
      </c>
      <c r="H371" s="2007"/>
      <c r="I371" s="2007"/>
    </row>
    <row r="372" spans="2:9" ht="15" customHeight="1">
      <c r="B372" s="1998" t="s">
        <v>1026</v>
      </c>
      <c r="C372" s="1998" t="s">
        <v>1214</v>
      </c>
      <c r="F372" s="1999">
        <v>0</v>
      </c>
      <c r="G372" s="2001">
        <v>0</v>
      </c>
      <c r="H372" s="2007"/>
      <c r="I372" s="2007"/>
    </row>
    <row r="373" spans="2:9" ht="15" customHeight="1">
      <c r="B373" s="1998" t="s">
        <v>1026</v>
      </c>
      <c r="C373" s="1998" t="s">
        <v>1215</v>
      </c>
      <c r="F373" s="1999">
        <f>SUM(F359:F365)</f>
        <v>-0.32340000000000002</v>
      </c>
      <c r="G373" s="2001">
        <f>SUM(G359:G365)</f>
        <v>-0.48180000000000001</v>
      </c>
      <c r="H373" s="2001">
        <f>SUM(H359:H365)</f>
        <v>0</v>
      </c>
      <c r="I373" s="2001">
        <f>SUM(I359:I365)</f>
        <v>0</v>
      </c>
    </row>
    <row r="374" spans="2:9" ht="15" customHeight="1">
      <c r="B374" s="1998" t="s">
        <v>1026</v>
      </c>
      <c r="C374" s="1998" t="s">
        <v>1216</v>
      </c>
      <c r="F374" s="1999">
        <f>SUM(F366:F372)</f>
        <v>0</v>
      </c>
      <c r="G374" s="2001">
        <f>SUM(G366:G372)</f>
        <v>0</v>
      </c>
      <c r="H374" s="2001">
        <f>SUM(H366:H372)</f>
        <v>0</v>
      </c>
      <c r="I374" s="2001">
        <f>SUM(I366:I372)</f>
        <v>0</v>
      </c>
    </row>
    <row r="375" spans="2:9" ht="15" customHeight="1" thickBot="1">
      <c r="B375" s="2013"/>
      <c r="C375" s="2025" t="s">
        <v>1046</v>
      </c>
      <c r="D375" s="2014"/>
      <c r="E375" s="2014"/>
      <c r="F375" s="2026">
        <f>F373+F374</f>
        <v>-0.32340000000000002</v>
      </c>
      <c r="G375" s="2027">
        <f>G373+G374</f>
        <v>-0.48180000000000001</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1218</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1119</v>
      </c>
    </row>
    <row r="380" spans="2:9" ht="26">
      <c r="B380" s="1998"/>
      <c r="C380" s="1998"/>
      <c r="F380" s="2023" t="s">
        <v>968</v>
      </c>
      <c r="G380" s="1937" t="s">
        <v>980</v>
      </c>
      <c r="H380" s="1937" t="s">
        <v>985</v>
      </c>
      <c r="I380" s="2043" t="s">
        <v>1120</v>
      </c>
    </row>
    <row r="381" spans="2:9" ht="15" customHeight="1">
      <c r="B381" s="2028" t="s">
        <v>1032</v>
      </c>
      <c r="C381" s="1998"/>
      <c r="F381" s="2023" t="s">
        <v>141</v>
      </c>
      <c r="G381" s="1937" t="s">
        <v>141</v>
      </c>
      <c r="H381" s="1937" t="s">
        <v>141</v>
      </c>
      <c r="I381" s="1937" t="s">
        <v>141</v>
      </c>
    </row>
    <row r="382" spans="2:9" ht="15" customHeight="1">
      <c r="B382" s="1998" t="s">
        <v>1033</v>
      </c>
      <c r="C382" s="1998" t="s">
        <v>1201</v>
      </c>
      <c r="F382" s="1999">
        <v>0</v>
      </c>
      <c r="G382" s="2001">
        <v>0</v>
      </c>
      <c r="H382" s="2007"/>
      <c r="I382" s="2007"/>
    </row>
    <row r="383" spans="2:9" ht="15" customHeight="1">
      <c r="B383" s="1998" t="s">
        <v>1033</v>
      </c>
      <c r="C383" s="1998" t="s">
        <v>1202</v>
      </c>
      <c r="F383" s="1999">
        <v>-1.1435</v>
      </c>
      <c r="G383" s="2001">
        <v>-1.2643</v>
      </c>
      <c r="H383" s="2007"/>
      <c r="I383" s="2007"/>
    </row>
    <row r="384" spans="2:9" ht="15" customHeight="1">
      <c r="B384" s="1998" t="s">
        <v>1033</v>
      </c>
      <c r="C384" s="1998" t="s">
        <v>1203</v>
      </c>
      <c r="F384" s="1999">
        <v>0</v>
      </c>
      <c r="G384" s="2001">
        <v>0</v>
      </c>
      <c r="H384" s="2007"/>
      <c r="I384" s="2007"/>
    </row>
    <row r="385" spans="2:9" ht="15" customHeight="1">
      <c r="B385" s="1998" t="s">
        <v>1033</v>
      </c>
      <c r="C385" s="1998" t="s">
        <v>1204</v>
      </c>
      <c r="F385" s="1999">
        <v>0</v>
      </c>
      <c r="G385" s="2001">
        <v>0</v>
      </c>
      <c r="H385" s="2007"/>
      <c r="I385" s="2007"/>
    </row>
    <row r="386" spans="2:9" ht="15" customHeight="1">
      <c r="B386" s="1998" t="s">
        <v>1033</v>
      </c>
      <c r="C386" s="1998" t="s">
        <v>1205</v>
      </c>
      <c r="F386" s="1999">
        <v>-0.91800000000000004</v>
      </c>
      <c r="G386" s="2001">
        <v>-1.6422000000000001</v>
      </c>
      <c r="H386" s="2007"/>
      <c r="I386" s="2007"/>
    </row>
    <row r="387" spans="2:9" ht="15" customHeight="1">
      <c r="B387" s="1998" t="s">
        <v>1033</v>
      </c>
      <c r="C387" s="1998" t="s">
        <v>1206</v>
      </c>
      <c r="F387" s="1999">
        <v>0</v>
      </c>
      <c r="G387" s="2001">
        <v>0</v>
      </c>
      <c r="H387" s="2007"/>
      <c r="I387" s="2007"/>
    </row>
    <row r="388" spans="2:9" ht="15" customHeight="1">
      <c r="B388" s="2008" t="s">
        <v>1033</v>
      </c>
      <c r="C388" s="2008" t="s">
        <v>1207</v>
      </c>
      <c r="D388" s="2009"/>
      <c r="E388" s="2009"/>
      <c r="F388" s="2010">
        <v>0</v>
      </c>
      <c r="G388" s="2011">
        <v>0</v>
      </c>
      <c r="H388" s="2012"/>
      <c r="I388" s="2012"/>
    </row>
    <row r="389" spans="2:9" ht="15" customHeight="1">
      <c r="B389" s="1998" t="s">
        <v>1033</v>
      </c>
      <c r="C389" s="1998" t="s">
        <v>1208</v>
      </c>
      <c r="F389" s="1999">
        <v>0</v>
      </c>
      <c r="G389" s="2001">
        <v>0</v>
      </c>
      <c r="H389" s="2007"/>
      <c r="I389" s="2007"/>
    </row>
    <row r="390" spans="2:9" ht="15" customHeight="1">
      <c r="B390" s="1998" t="s">
        <v>1033</v>
      </c>
      <c r="C390" s="1998" t="s">
        <v>1209</v>
      </c>
      <c r="F390" s="1999">
        <v>0</v>
      </c>
      <c r="G390" s="2001">
        <v>0</v>
      </c>
      <c r="H390" s="2007"/>
      <c r="I390" s="2007"/>
    </row>
    <row r="391" spans="2:9" ht="15" customHeight="1">
      <c r="B391" s="1998" t="s">
        <v>1033</v>
      </c>
      <c r="C391" s="1998" t="s">
        <v>1210</v>
      </c>
      <c r="F391" s="1999">
        <v>0</v>
      </c>
      <c r="G391" s="2001">
        <v>0</v>
      </c>
      <c r="H391" s="2007"/>
      <c r="I391" s="2007"/>
    </row>
    <row r="392" spans="2:9" ht="15" customHeight="1">
      <c r="B392" s="1998" t="s">
        <v>1033</v>
      </c>
      <c r="C392" s="1998" t="s">
        <v>1211</v>
      </c>
      <c r="F392" s="1999">
        <v>0</v>
      </c>
      <c r="G392" s="2001">
        <v>0</v>
      </c>
      <c r="H392" s="2007"/>
      <c r="I392" s="2007"/>
    </row>
    <row r="393" spans="2:9" ht="15" customHeight="1">
      <c r="B393" s="1998" t="s">
        <v>1033</v>
      </c>
      <c r="C393" s="1998" t="s">
        <v>1212</v>
      </c>
      <c r="F393" s="1999">
        <v>0</v>
      </c>
      <c r="G393" s="2001">
        <v>0</v>
      </c>
      <c r="H393" s="2007"/>
      <c r="I393" s="2007"/>
    </row>
    <row r="394" spans="2:9" ht="15" customHeight="1">
      <c r="B394" s="1998" t="s">
        <v>1033</v>
      </c>
      <c r="C394" s="1998" t="s">
        <v>1213</v>
      </c>
      <c r="F394" s="1999">
        <v>0</v>
      </c>
      <c r="G394" s="2001">
        <v>0</v>
      </c>
      <c r="H394" s="2007"/>
      <c r="I394" s="2007"/>
    </row>
    <row r="395" spans="2:9" ht="15" customHeight="1">
      <c r="B395" s="1998" t="s">
        <v>1033</v>
      </c>
      <c r="C395" s="1998" t="s">
        <v>1214</v>
      </c>
      <c r="F395" s="1999">
        <v>0</v>
      </c>
      <c r="G395" s="2001">
        <v>0</v>
      </c>
      <c r="H395" s="2007"/>
      <c r="I395" s="2007"/>
    </row>
    <row r="396" spans="2:9" ht="15" customHeight="1">
      <c r="B396" s="1998" t="s">
        <v>1033</v>
      </c>
      <c r="C396" s="1998" t="s">
        <v>1215</v>
      </c>
      <c r="F396" s="1999">
        <f>SUM(F382:F388)</f>
        <v>-2.0615000000000001</v>
      </c>
      <c r="G396" s="2001">
        <f>SUM(G382:G388)</f>
        <v>-2.9065000000000003</v>
      </c>
      <c r="H396" s="2001">
        <f>SUM(H382:H388)</f>
        <v>0</v>
      </c>
      <c r="I396" s="2001">
        <f>SUM(I382:I388)</f>
        <v>0</v>
      </c>
    </row>
    <row r="397" spans="2:9" ht="15" customHeight="1">
      <c r="B397" s="1998" t="s">
        <v>1033</v>
      </c>
      <c r="C397" s="1998" t="s">
        <v>1216</v>
      </c>
      <c r="F397" s="1999">
        <f>SUM(F389:F395)</f>
        <v>0</v>
      </c>
      <c r="G397" s="2001">
        <f>SUM(G389:G395)</f>
        <v>0</v>
      </c>
      <c r="H397" s="2001">
        <f>SUM(H389:H395)</f>
        <v>0</v>
      </c>
      <c r="I397" s="2001">
        <f>SUM(I389:I395)</f>
        <v>0</v>
      </c>
    </row>
    <row r="398" spans="2:9" ht="15" customHeight="1" thickBot="1">
      <c r="B398" s="2013"/>
      <c r="C398" s="2025" t="s">
        <v>1046</v>
      </c>
      <c r="D398" s="2014"/>
      <c r="E398" s="2014"/>
      <c r="F398" s="2026">
        <f>F396+F397</f>
        <v>-2.0615000000000001</v>
      </c>
      <c r="G398" s="2026">
        <f>G396+G397</f>
        <v>-2.9065000000000003</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1222</v>
      </c>
      <c r="C400" s="2030"/>
      <c r="D400" s="2031"/>
      <c r="E400" s="2031"/>
      <c r="F400" s="2032"/>
      <c r="G400" s="2032"/>
      <c r="H400" s="2032"/>
      <c r="I400" s="2032"/>
    </row>
    <row r="401" spans="2:9" ht="15" customHeight="1">
      <c r="B401" s="2033" t="s">
        <v>1223</v>
      </c>
      <c r="C401" s="2030"/>
      <c r="D401" s="2031"/>
      <c r="E401" s="2031"/>
      <c r="F401" s="2032"/>
      <c r="G401" s="2032"/>
      <c r="H401" s="2032"/>
      <c r="I401" s="2032"/>
    </row>
    <row r="402" spans="2:9" ht="15" customHeight="1">
      <c r="B402" s="1998"/>
      <c r="C402" s="1998"/>
      <c r="F402" s="1998"/>
      <c r="I402" s="462" t="s">
        <v>1119</v>
      </c>
    </row>
    <row r="403" spans="2:9" ht="26">
      <c r="B403" s="1998"/>
      <c r="C403" s="1998"/>
      <c r="F403" s="2023" t="s">
        <v>968</v>
      </c>
      <c r="G403" s="1937" t="s">
        <v>980</v>
      </c>
      <c r="H403" s="1937" t="s">
        <v>985</v>
      </c>
      <c r="I403" s="2043" t="s">
        <v>1120</v>
      </c>
    </row>
    <row r="404" spans="2:9" ht="15" customHeight="1">
      <c r="B404" s="2028" t="s">
        <v>1035</v>
      </c>
      <c r="C404" s="1998"/>
      <c r="F404" s="2023" t="s">
        <v>141</v>
      </c>
      <c r="G404" s="1937" t="s">
        <v>141</v>
      </c>
      <c r="H404" s="1937" t="s">
        <v>141</v>
      </c>
      <c r="I404" s="1937" t="s">
        <v>141</v>
      </c>
    </row>
    <row r="405" spans="2:9" ht="15" customHeight="1">
      <c r="B405" s="1998" t="s">
        <v>1036</v>
      </c>
      <c r="C405" s="1998" t="s">
        <v>1201</v>
      </c>
      <c r="F405" s="1999">
        <v>0</v>
      </c>
      <c r="G405" s="2001">
        <v>0</v>
      </c>
      <c r="H405" s="2007"/>
      <c r="I405" s="2007"/>
    </row>
    <row r="406" spans="2:9" ht="15" customHeight="1">
      <c r="B406" s="1998" t="s">
        <v>1036</v>
      </c>
      <c r="C406" s="1998" t="s">
        <v>1202</v>
      </c>
      <c r="F406" s="1999">
        <v>-1.5164</v>
      </c>
      <c r="G406" s="2001">
        <v>-2.5516000000000001</v>
      </c>
      <c r="H406" s="2007"/>
      <c r="I406" s="2007"/>
    </row>
    <row r="407" spans="2:9" ht="15" customHeight="1">
      <c r="B407" s="1998" t="s">
        <v>1036</v>
      </c>
      <c r="C407" s="1998" t="s">
        <v>1203</v>
      </c>
      <c r="F407" s="1999">
        <v>0</v>
      </c>
      <c r="G407" s="2001">
        <v>0</v>
      </c>
      <c r="H407" s="2007"/>
      <c r="I407" s="2007"/>
    </row>
    <row r="408" spans="2:9" ht="15" customHeight="1">
      <c r="B408" s="1998" t="s">
        <v>1036</v>
      </c>
      <c r="C408" s="1998" t="s">
        <v>1204</v>
      </c>
      <c r="F408" s="1999">
        <v>0</v>
      </c>
      <c r="G408" s="2001">
        <v>0</v>
      </c>
      <c r="H408" s="2007"/>
      <c r="I408" s="2007"/>
    </row>
    <row r="409" spans="2:9" ht="15" customHeight="1">
      <c r="B409" s="1998" t="s">
        <v>1036</v>
      </c>
      <c r="C409" s="1998" t="s">
        <v>1205</v>
      </c>
      <c r="F409" s="1999">
        <v>0</v>
      </c>
      <c r="G409" s="2001">
        <v>0</v>
      </c>
      <c r="H409" s="2007"/>
      <c r="I409" s="2007"/>
    </row>
    <row r="410" spans="2:9" ht="15" customHeight="1">
      <c r="B410" s="1998" t="s">
        <v>1036</v>
      </c>
      <c r="C410" s="1998" t="s">
        <v>1206</v>
      </c>
      <c r="F410" s="1999">
        <v>0</v>
      </c>
      <c r="G410" s="2001">
        <v>0</v>
      </c>
      <c r="H410" s="2007"/>
      <c r="I410" s="2007"/>
    </row>
    <row r="411" spans="2:9" ht="15" customHeight="1">
      <c r="B411" s="2008" t="s">
        <v>1036</v>
      </c>
      <c r="C411" s="2008" t="s">
        <v>1207</v>
      </c>
      <c r="D411" s="2009"/>
      <c r="E411" s="2009"/>
      <c r="F411" s="2010">
        <v>0</v>
      </c>
      <c r="G411" s="2011">
        <v>0</v>
      </c>
      <c r="H411" s="2012"/>
      <c r="I411" s="2012"/>
    </row>
    <row r="412" spans="2:9" ht="15" customHeight="1">
      <c r="B412" s="1998" t="s">
        <v>1036</v>
      </c>
      <c r="C412" s="1998" t="s">
        <v>1208</v>
      </c>
      <c r="F412" s="1999">
        <v>0</v>
      </c>
      <c r="G412" s="2001">
        <v>0</v>
      </c>
      <c r="H412" s="2007"/>
      <c r="I412" s="2007"/>
    </row>
    <row r="413" spans="2:9" ht="15" customHeight="1">
      <c r="B413" s="1998" t="s">
        <v>1036</v>
      </c>
      <c r="C413" s="1998" t="s">
        <v>1209</v>
      </c>
      <c r="F413" s="1999">
        <v>0</v>
      </c>
      <c r="G413" s="2001">
        <v>0</v>
      </c>
      <c r="H413" s="2007"/>
      <c r="I413" s="2007"/>
    </row>
    <row r="414" spans="2:9" ht="15" customHeight="1">
      <c r="B414" s="1998" t="s">
        <v>1036</v>
      </c>
      <c r="C414" s="1998" t="s">
        <v>1210</v>
      </c>
      <c r="F414" s="1999">
        <v>0</v>
      </c>
      <c r="G414" s="2001">
        <v>0</v>
      </c>
      <c r="H414" s="2007"/>
      <c r="I414" s="2007"/>
    </row>
    <row r="415" spans="2:9" ht="15" customHeight="1">
      <c r="B415" s="1998" t="s">
        <v>1036</v>
      </c>
      <c r="C415" s="1998" t="s">
        <v>1211</v>
      </c>
      <c r="F415" s="1999">
        <v>0</v>
      </c>
      <c r="G415" s="2001">
        <v>0</v>
      </c>
      <c r="H415" s="2007"/>
      <c r="I415" s="2007"/>
    </row>
    <row r="416" spans="2:9" ht="15" customHeight="1">
      <c r="B416" s="1998" t="s">
        <v>1036</v>
      </c>
      <c r="C416" s="1998" t="s">
        <v>1212</v>
      </c>
      <c r="F416" s="1999">
        <v>0</v>
      </c>
      <c r="G416" s="2001">
        <v>0</v>
      </c>
      <c r="H416" s="2007"/>
      <c r="I416" s="2007"/>
    </row>
    <row r="417" spans="2:9" ht="15" customHeight="1">
      <c r="B417" s="1998" t="s">
        <v>1036</v>
      </c>
      <c r="C417" s="1998" t="s">
        <v>1213</v>
      </c>
      <c r="F417" s="1999">
        <v>0</v>
      </c>
      <c r="G417" s="2001">
        <v>0</v>
      </c>
      <c r="H417" s="2007"/>
      <c r="I417" s="2007"/>
    </row>
    <row r="418" spans="2:9" ht="15" customHeight="1">
      <c r="B418" s="1998" t="s">
        <v>1036</v>
      </c>
      <c r="C418" s="1998" t="s">
        <v>1214</v>
      </c>
      <c r="F418" s="1999">
        <v>0</v>
      </c>
      <c r="G418" s="2001">
        <v>0</v>
      </c>
      <c r="H418" s="2007"/>
      <c r="I418" s="2007"/>
    </row>
    <row r="419" spans="2:9" ht="15" customHeight="1">
      <c r="B419" s="1998" t="s">
        <v>1036</v>
      </c>
      <c r="C419" s="1998" t="s">
        <v>1215</v>
      </c>
      <c r="F419" s="1999">
        <f>SUM(F405:F411)</f>
        <v>-1.5164</v>
      </c>
      <c r="G419" s="2001">
        <f>SUM(G405:G411)</f>
        <v>-2.5516000000000001</v>
      </c>
      <c r="H419" s="2001">
        <f>SUM(H405:H411)</f>
        <v>0</v>
      </c>
      <c r="I419" s="2001">
        <f>SUM(I405:I411)</f>
        <v>0</v>
      </c>
    </row>
    <row r="420" spans="2:9" ht="15" customHeight="1">
      <c r="B420" s="1998" t="s">
        <v>1036</v>
      </c>
      <c r="C420" s="1998" t="s">
        <v>1216</v>
      </c>
      <c r="F420" s="1999">
        <f>SUM(F412:F418)</f>
        <v>0</v>
      </c>
      <c r="G420" s="2001">
        <f>SUM(G412:G418)</f>
        <v>0</v>
      </c>
      <c r="H420" s="2001">
        <f>SUM(H412:H418)</f>
        <v>0</v>
      </c>
      <c r="I420" s="2001">
        <f>SUM(I412:I418)</f>
        <v>0</v>
      </c>
    </row>
    <row r="421" spans="2:9" ht="15" customHeight="1" thickBot="1">
      <c r="B421" s="2013"/>
      <c r="C421" s="2025" t="s">
        <v>1046</v>
      </c>
      <c r="D421" s="2014"/>
      <c r="E421" s="2014"/>
      <c r="F421" s="2026">
        <f>F419+F420</f>
        <v>-1.5164</v>
      </c>
      <c r="G421" s="2027">
        <f>G419+G420</f>
        <v>-2.5516000000000001</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1218</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1119</v>
      </c>
    </row>
    <row r="426" spans="2:9" ht="26">
      <c r="B426" s="1998"/>
      <c r="C426" s="1998"/>
      <c r="F426" s="2023" t="s">
        <v>968</v>
      </c>
      <c r="G426" s="1937" t="s">
        <v>980</v>
      </c>
      <c r="H426" s="1937" t="s">
        <v>985</v>
      </c>
      <c r="I426" s="2043" t="s">
        <v>1120</v>
      </c>
    </row>
    <row r="427" spans="2:9" ht="15" customHeight="1">
      <c r="B427" s="2028" t="s">
        <v>1028</v>
      </c>
      <c r="C427" s="1998"/>
      <c r="F427" s="2023" t="s">
        <v>141</v>
      </c>
      <c r="G427" s="1937" t="s">
        <v>141</v>
      </c>
      <c r="H427" s="1937" t="s">
        <v>141</v>
      </c>
      <c r="I427" s="1937" t="s">
        <v>141</v>
      </c>
    </row>
    <row r="428" spans="2:9" ht="15" customHeight="1">
      <c r="B428" s="1998" t="s">
        <v>1029</v>
      </c>
      <c r="C428" s="1998" t="s">
        <v>1201</v>
      </c>
      <c r="F428" s="1999">
        <v>0</v>
      </c>
      <c r="G428" s="2001">
        <v>0</v>
      </c>
      <c r="H428" s="2007"/>
      <c r="I428" s="2007"/>
    </row>
    <row r="429" spans="2:9" ht="15" customHeight="1">
      <c r="B429" s="1998" t="s">
        <v>1029</v>
      </c>
      <c r="C429" s="1998" t="s">
        <v>1202</v>
      </c>
      <c r="F429" s="1999">
        <v>-0.61599999999999999</v>
      </c>
      <c r="G429" s="2001">
        <v>-0.62480000000000002</v>
      </c>
      <c r="H429" s="2007"/>
      <c r="I429" s="2007"/>
    </row>
    <row r="430" spans="2:9" ht="15" customHeight="1">
      <c r="B430" s="1998" t="s">
        <v>1029</v>
      </c>
      <c r="C430" s="1998" t="s">
        <v>1203</v>
      </c>
      <c r="F430" s="1999">
        <v>0</v>
      </c>
      <c r="G430" s="2001">
        <v>0</v>
      </c>
      <c r="H430" s="2007"/>
      <c r="I430" s="2007"/>
    </row>
    <row r="431" spans="2:9" ht="15" customHeight="1">
      <c r="B431" s="1998" t="s">
        <v>1029</v>
      </c>
      <c r="C431" s="1998" t="s">
        <v>1204</v>
      </c>
      <c r="F431" s="1999">
        <v>0</v>
      </c>
      <c r="G431" s="2001">
        <v>0</v>
      </c>
      <c r="H431" s="2007"/>
      <c r="I431" s="2007"/>
    </row>
    <row r="432" spans="2:9" ht="15" customHeight="1">
      <c r="B432" s="1998" t="s">
        <v>1029</v>
      </c>
      <c r="C432" s="1998" t="s">
        <v>1205</v>
      </c>
      <c r="F432" s="1999">
        <v>0</v>
      </c>
      <c r="G432" s="2001">
        <v>0</v>
      </c>
      <c r="H432" s="2007"/>
      <c r="I432" s="2007"/>
    </row>
    <row r="433" spans="2:9" ht="15" customHeight="1">
      <c r="B433" s="1998" t="s">
        <v>1029</v>
      </c>
      <c r="C433" s="1998" t="s">
        <v>1206</v>
      </c>
      <c r="F433" s="1999">
        <v>0</v>
      </c>
      <c r="G433" s="2001">
        <v>0</v>
      </c>
      <c r="H433" s="2007"/>
      <c r="I433" s="2007"/>
    </row>
    <row r="434" spans="2:9" ht="15" customHeight="1">
      <c r="B434" s="2008" t="s">
        <v>1029</v>
      </c>
      <c r="C434" s="2008" t="s">
        <v>1207</v>
      </c>
      <c r="D434" s="2009"/>
      <c r="E434" s="2009"/>
      <c r="F434" s="2010">
        <v>0</v>
      </c>
      <c r="G434" s="2011">
        <v>0</v>
      </c>
      <c r="H434" s="2012"/>
      <c r="I434" s="2012"/>
    </row>
    <row r="435" spans="2:9" ht="15" customHeight="1">
      <c r="B435" s="1998" t="s">
        <v>1029</v>
      </c>
      <c r="C435" s="1998" t="s">
        <v>1208</v>
      </c>
      <c r="F435" s="1999">
        <v>0</v>
      </c>
      <c r="G435" s="2001">
        <v>0</v>
      </c>
      <c r="H435" s="2007"/>
      <c r="I435" s="2007"/>
    </row>
    <row r="436" spans="2:9" ht="15" customHeight="1">
      <c r="B436" s="1998" t="s">
        <v>1029</v>
      </c>
      <c r="C436" s="1998" t="s">
        <v>1209</v>
      </c>
      <c r="F436" s="1999">
        <v>0</v>
      </c>
      <c r="G436" s="2001">
        <v>0</v>
      </c>
      <c r="H436" s="2007"/>
      <c r="I436" s="2007"/>
    </row>
    <row r="437" spans="2:9" ht="15" customHeight="1">
      <c r="B437" s="1998" t="s">
        <v>1029</v>
      </c>
      <c r="C437" s="1998" t="s">
        <v>1210</v>
      </c>
      <c r="F437" s="1999">
        <v>0</v>
      </c>
      <c r="G437" s="2001">
        <v>0</v>
      </c>
      <c r="H437" s="2007"/>
      <c r="I437" s="2007"/>
    </row>
    <row r="438" spans="2:9" ht="15" customHeight="1">
      <c r="B438" s="1998" t="s">
        <v>1029</v>
      </c>
      <c r="C438" s="1998" t="s">
        <v>1211</v>
      </c>
      <c r="F438" s="1999">
        <v>0</v>
      </c>
      <c r="G438" s="2001">
        <v>0</v>
      </c>
      <c r="H438" s="2007"/>
      <c r="I438" s="2007"/>
    </row>
    <row r="439" spans="2:9" ht="15" customHeight="1">
      <c r="B439" s="1998" t="s">
        <v>1029</v>
      </c>
      <c r="C439" s="1998" t="s">
        <v>1212</v>
      </c>
      <c r="F439" s="1999">
        <v>0</v>
      </c>
      <c r="G439" s="2001">
        <v>0</v>
      </c>
      <c r="H439" s="2007"/>
      <c r="I439" s="2007"/>
    </row>
    <row r="440" spans="2:9" ht="15" customHeight="1">
      <c r="B440" s="1998" t="s">
        <v>1029</v>
      </c>
      <c r="C440" s="1998" t="s">
        <v>1213</v>
      </c>
      <c r="F440" s="1999">
        <v>0</v>
      </c>
      <c r="G440" s="2001">
        <v>0</v>
      </c>
      <c r="H440" s="2007"/>
      <c r="I440" s="2007"/>
    </row>
    <row r="441" spans="2:9" ht="15" customHeight="1">
      <c r="B441" s="1998" t="s">
        <v>1029</v>
      </c>
      <c r="C441" s="1998" t="s">
        <v>1214</v>
      </c>
      <c r="F441" s="1999">
        <v>0</v>
      </c>
      <c r="G441" s="2001">
        <v>0</v>
      </c>
      <c r="H441" s="2007"/>
      <c r="I441" s="2007"/>
    </row>
    <row r="442" spans="2:9" ht="15" customHeight="1">
      <c r="B442" s="1998" t="s">
        <v>1029</v>
      </c>
      <c r="C442" s="1998" t="s">
        <v>1215</v>
      </c>
      <c r="F442" s="1999">
        <f>SUM(F428:F434)</f>
        <v>-0.61599999999999999</v>
      </c>
      <c r="G442" s="2001">
        <f>SUM(G428:G434)</f>
        <v>-0.62480000000000002</v>
      </c>
      <c r="H442" s="2001">
        <f>SUM(H428:H434)</f>
        <v>0</v>
      </c>
      <c r="I442" s="2001">
        <f>SUM(I428:I434)</f>
        <v>0</v>
      </c>
    </row>
    <row r="443" spans="2:9" ht="15" customHeight="1">
      <c r="B443" s="1998" t="s">
        <v>1029</v>
      </c>
      <c r="C443" s="1998" t="s">
        <v>1216</v>
      </c>
      <c r="F443" s="1999">
        <f>SUM(F435:F441)</f>
        <v>0</v>
      </c>
      <c r="G443" s="2001">
        <f>SUM(G435:G441)</f>
        <v>0</v>
      </c>
      <c r="H443" s="2001">
        <f>SUM(H435:H441)</f>
        <v>0</v>
      </c>
      <c r="I443" s="2001">
        <f>SUM(I435:I441)</f>
        <v>0</v>
      </c>
    </row>
    <row r="444" spans="2:9" ht="15" customHeight="1" thickBot="1">
      <c r="B444" s="2013"/>
      <c r="C444" s="2025" t="s">
        <v>1046</v>
      </c>
      <c r="D444" s="2014"/>
      <c r="E444" s="2014"/>
      <c r="F444" s="2026">
        <f>F442+F443</f>
        <v>-0.61599999999999999</v>
      </c>
      <c r="G444" s="2027">
        <f>G442+G443</f>
        <v>-0.62480000000000002</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1218</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935</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1072</v>
      </c>
      <c r="F7" s="444"/>
      <c r="G7" s="444" t="s">
        <v>1073</v>
      </c>
      <c r="H7" s="444"/>
      <c r="I7" s="444"/>
      <c r="J7" s="551">
        <f>IF(Ofwat_PC_Interventions!J7&lt;&gt;"",Ofwat_PC_Interventions!J7,IF(Company_PC_inputs!J7&lt;&gt;"",Company_PC_inputs!J7,""))</f>
        <v>2.91</v>
      </c>
      <c r="K7" s="552">
        <f>IF(Ofwat_PC_Interventions!K7&lt;&gt;"",Ofwat_PC_Interventions!K7,IF(Company_PC_inputs!K7&lt;&gt;"",Company_PC_inputs!K7,""))</f>
        <v>4.5486111111111109E-3</v>
      </c>
      <c r="L7" s="551">
        <f>IF(Ofwat_PC_Interventions!L7&lt;&gt;"",Ofwat_PC_Interventions!L7,IF(Company_PC_inputs!L7&lt;&gt;"",Company_PC_inputs!L7,""))</f>
        <v>9.0504451038575731</v>
      </c>
      <c r="M7" s="551">
        <f>IF(Ofwat_PC_Interventions!M7&lt;&gt;"",Ofwat_PC_Interventions!M7,IF(Company_PC_inputs!M7&lt;&gt;"",Company_PC_inputs!M7,""))</f>
        <v>12.576687116564422</v>
      </c>
      <c r="N7" s="551">
        <f>IF(Ofwat_PC_Interventions!N7&lt;&gt;"",Ofwat_PC_Interventions!N7,IF(Company_PC_inputs!N7&lt;&gt;"",Company_PC_inputs!N7,""))</f>
        <v>-2.4568393094289709</v>
      </c>
      <c r="O7" s="551" t="str">
        <f>IF(Ofwat_PC_Interventions!O7&lt;&gt;"",Ofwat_PC_Interventions!O7,IF(Company_PC_inputs!O7&lt;&gt;"",Company_PC_inputs!O7,""))</f>
        <v/>
      </c>
      <c r="P7" s="553">
        <f>IF(Ofwat_PC_Interventions!P7&lt;&gt;"",Ofwat_PC_Interventions!P7,IF(Company_PC_inputs!P7&lt;&gt;"",Company_PC_inputs!P7,""))</f>
        <v>127.9</v>
      </c>
      <c r="Q7" s="554">
        <f>IF(Ofwat_PC_Interventions!Q7&lt;&gt;"",Ofwat_PC_Interventions!Q7,IF(Company_PC_inputs!Q7&lt;&gt;"",Company_PC_inputs!Q7,""))</f>
        <v>3</v>
      </c>
      <c r="R7" s="555">
        <f>IF(Ofwat_PC_Interventions!R7&lt;&gt;"",Ofwat_PC_Interventions!R7,IF(Company_PC_inputs!R7&lt;&gt;"",Company_PC_inputs!R7,""))</f>
        <v>7.2</v>
      </c>
      <c r="S7" s="556">
        <f>IF(Ofwat_PC_Interventions!S7&lt;&gt;"",Ofwat_PC_Interventions!S7,IF(Company_PC_inputs!S7&lt;&gt;"",Company_PC_inputs!S7,""))</f>
        <v>3.5</v>
      </c>
      <c r="T7" s="555">
        <f>IF(Ofwat_PC_Interventions!T7&lt;&gt;"",Ofwat_PC_Interventions!T7,IF(Company_PC_inputs!T7&lt;&gt;"",Company_PC_inputs!T7,""))</f>
        <v>150</v>
      </c>
      <c r="U7" s="551">
        <f>IF(Ofwat_PC_Interventions!U7&lt;&gt;"",Ofwat_PC_Interventions!U7,IF(Company_PC_inputs!U7&lt;&gt;"",Company_PC_inputs!U7,""))</f>
        <v>7.42</v>
      </c>
      <c r="V7" s="553">
        <f>IF(Ofwat_PC_Interventions!V7&lt;&gt;"",Ofwat_PC_Interventions!V7,IF(Company_PC_inputs!V7&lt;&gt;"",Company_PC_inputs!V7,""))</f>
        <v>1.74</v>
      </c>
      <c r="W7" s="556">
        <f>IF(Ofwat_PC_Interventions!W7&lt;&gt;"",Ofwat_PC_Interventions!W7,IF(Company_PC_inputs!W7&lt;&gt;"",Company_PC_inputs!W7,""))</f>
        <v>14.071</v>
      </c>
      <c r="X7" s="556">
        <f>IF(Ofwat_PC_Interventions!X7&lt;&gt;"",Ofwat_PC_Interventions!X7,IF(Company_PC_inputs!X7&lt;&gt;"",Company_PC_inputs!X7,""))</f>
        <v>96.6</v>
      </c>
      <c r="Y7" s="557">
        <f>IF(Ofwat_PC_Interventions!Y7&lt;&gt;"",Ofwat_PC_Interventions!Y7,IF(Company_PC_inputs!Y7&lt;&gt;"",Company_PC_inputs!Y7,""))</f>
        <v>0</v>
      </c>
      <c r="Z7" s="551">
        <f>IF(Ofwat_PC_Interventions!Z7&lt;&gt;"",Ofwat_PC_Interventions!Z7,IF(Company_PC_inputs!Z7&lt;&gt;"",Company_PC_inputs!Z7,""))</f>
        <v>58</v>
      </c>
      <c r="AA7" s="555">
        <f>IF(Ofwat_PC_Interventions!AA7&lt;&gt;"",Ofwat_PC_Interventions!AA7,IF(Company_PC_inputs!AA7&lt;&gt;"",Company_PC_inputs!AA7,""))</f>
        <v>15627</v>
      </c>
      <c r="AB7" s="556">
        <f>IF(Ofwat_PC_Interventions!AB7&lt;&gt;"",Ofwat_PC_Interventions!AB7,IF(Company_PC_inputs!AB7&lt;&gt;"",Company_PC_inputs!AB7,""))</f>
        <v>59.3</v>
      </c>
      <c r="AC7" s="555">
        <f>IF(Ofwat_PC_Interventions!AC7&lt;&gt;"",Ofwat_PC_Interventions!AC7,IF(Company_PC_inputs!AC7&lt;&gt;"",Company_PC_inputs!AC7,""))</f>
        <v>59.9</v>
      </c>
      <c r="AD7" s="558">
        <f>IF(Ofwat_PC_Interventions!AD7&lt;&gt;"",Ofwat_PC_Interventions!AD7,IF(Company_PC_inputs!AD7&lt;&gt;"",Company_PC_inputs!AD7,""))</f>
        <v>47.4</v>
      </c>
      <c r="AE7" s="551">
        <f>IF(Ofwat_PC_Interventions!AE7&lt;&gt;"",Ofwat_PC_Interventions!AE7,IF(Company_PC_inputs!AE7&lt;&gt;"",Company_PC_inputs!AE7,""))</f>
        <v>73.400000000000006</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1.23</v>
      </c>
      <c r="AM7" s="553">
        <f>IF(Ofwat_PC_Interventions!AM7&lt;&gt;"",Ofwat_PC_Interventions!AM7,IF(Company_PC_inputs!AM7&lt;&gt;"",Company_PC_inputs!AM7,""))</f>
        <v>22.31</v>
      </c>
      <c r="AN7" s="553">
        <f>IF(Ofwat_PC_Interventions!AN7&lt;&gt;"",Ofwat_PC_Interventions!AN7,IF(Company_PC_inputs!AN7&lt;&gt;"",Company_PC_inputs!AN7,""))</f>
        <v>8.7899999999999991</v>
      </c>
      <c r="AO7" s="559">
        <f>IF(Ofwat_PC_Interventions!AO7&lt;&gt;"",Ofwat_PC_Interventions!AO7,IF(Company_PC_inputs!AO7&lt;&gt;"",Company_PC_inputs!AO7,""))</f>
        <v>98.52</v>
      </c>
      <c r="AP7" s="556">
        <f>IF(Ofwat_PC_Interventions!AP7&lt;&gt;"",Ofwat_PC_Interventions!AP7,IF(Company_PC_inputs!AP7&lt;&gt;"",Company_PC_inputs!AP7,""))</f>
        <v>10500</v>
      </c>
      <c r="AQ7" s="558">
        <f>IF(Ofwat_PC_Interventions!AQ7&lt;&gt;"",Ofwat_PC_Interventions!AQ7,IF(Company_PC_inputs!AQ7&lt;&gt;"",Company_PC_inputs!AQ7,""))</f>
        <v>2824</v>
      </c>
      <c r="AR7" s="553">
        <f>IF(Ofwat_PC_Interventions!AR7&lt;&gt;"",Ofwat_PC_Interventions!AR7,IF(Company_PC_inputs!AR7&lt;&gt;"",Company_PC_inputs!AR7,""))</f>
        <v>27</v>
      </c>
      <c r="AS7" s="551">
        <f>IF(Ofwat_PC_Interventions!AS7&lt;&gt;"",Ofwat_PC_Interventions!AS7,IF(Company_PC_inputs!AS7&lt;&gt;"",Company_PC_inputs!AS7,""))</f>
        <v>94.1</v>
      </c>
      <c r="AT7" s="551">
        <f>IF(Ofwat_PC_Interventions!AT7&lt;&gt;"",Ofwat_PC_Interventions!AT7,IF(Company_PC_inputs!AT7&lt;&gt;"",Company_PC_inputs!AT7,""))</f>
        <v>132</v>
      </c>
      <c r="AU7" s="555">
        <f>IF(Ofwat_PC_Interventions!AU7&lt;&gt;"",Ofwat_PC_Interventions!AU7,IF(Company_PC_inputs!AU7&lt;&gt;"",Company_PC_inputs!AU7,""))</f>
        <v>535</v>
      </c>
      <c r="AV7" s="558">
        <f>IF(Ofwat_PC_Interventions!AV7&lt;&gt;"",Ofwat_PC_Interventions!AV7,IF(Company_PC_inputs!AV7&lt;&gt;"",Company_PC_inputs!AV7,""))</f>
        <v>0</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134.80000000000001</v>
      </c>
      <c r="M8" s="560">
        <f>IF(Ofwat_PC_Interventions!M8&lt;&gt;"",Ofwat_PC_Interventions!M8,IF(Company_PC_inputs!M8&lt;&gt;"",Company_PC_inputs!M8,""))</f>
        <v>65.2</v>
      </c>
      <c r="N8" s="560">
        <f>IF(Ofwat_PC_Interventions!N8&lt;&gt;"",Ofwat_PC_Interventions!N8,IF(Company_PC_inputs!N8&lt;&gt;"",Company_PC_inputs!N8,""))</f>
        <v>150.6</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1076</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1078</v>
      </c>
      <c r="F16" s="444"/>
      <c r="G16" s="444" t="s">
        <v>1052</v>
      </c>
      <c r="H16" s="444"/>
      <c r="I16" s="444"/>
      <c r="J16" s="563" t="str">
        <f>IF(Ofwat_PC_Interventions!J16&lt;&gt;"",Ofwat_PC_Interventions!J16,IF(Company_PC_inputs!J16&lt;&gt;"",Company_PC_inputs!J16,""))</f>
        <v>PR19NES_COM03</v>
      </c>
      <c r="K16" s="563" t="str">
        <f>IF(Ofwat_PC_Interventions!K16&lt;&gt;"",Ofwat_PC_Interventions!K16,IF(Company_PC_inputs!K16&lt;&gt;"",Company_PC_inputs!K16,""))</f>
        <v>PR19NES_COM04</v>
      </c>
      <c r="L16" s="563" t="str">
        <f>IF(Ofwat_PC_Interventions!L16&lt;&gt;"",Ofwat_PC_Interventions!L16,IF(Company_PC_inputs!L16&lt;&gt;"",Company_PC_inputs!L16,""))</f>
        <v>PR19NES_COM05</v>
      </c>
      <c r="M16" s="563" t="str">
        <f>IF(Ofwat_PC_Interventions!M16&lt;&gt;"",Ofwat_PC_Interventions!M16,IF(Company_PC_inputs!M16&lt;&gt;"",Company_PC_inputs!M16,""))</f>
        <v>PR19NES_COM06</v>
      </c>
      <c r="N16" s="563" t="str">
        <f>IF(Ofwat_PC_Interventions!N16&lt;&gt;"",Ofwat_PC_Interventions!N16,IF(Company_PC_inputs!N16&lt;&gt;"",Company_PC_inputs!N16,""))</f>
        <v>PR19NES_COM07</v>
      </c>
      <c r="O16" s="563" t="str">
        <f>IF(Ofwat_PC_Interventions!O16&lt;&gt;"",Ofwat_PC_Interventions!O16,IF(Company_PC_inputs!O16&lt;&gt;"",Company_PC_inputs!O16,""))</f>
        <v/>
      </c>
      <c r="P16" s="563" t="str">
        <f>IF(Ofwat_PC_Interventions!P16&lt;&gt;"",Ofwat_PC_Interventions!P16,IF(Company_PC_inputs!P16&lt;&gt;"",Company_PC_inputs!P16,""))</f>
        <v>PR19NES_COM12</v>
      </c>
      <c r="Q16" s="564" t="str">
        <f>IF(Ofwat_PC_Interventions!Q16&lt;&gt;"",Ofwat_PC_Interventions!Q16,IF(Company_PC_inputs!Q16&lt;&gt;"",Company_PC_inputs!Q16,""))</f>
        <v>PR19NES_COM13</v>
      </c>
      <c r="R16" s="563" t="str">
        <f>IF(Ofwat_PC_Interventions!R16&lt;&gt;"",Ofwat_PC_Interventions!R16,IF(Company_PC_inputs!R16&lt;&gt;"",Company_PC_inputs!R16,""))</f>
        <v>PR19NES_BES04</v>
      </c>
      <c r="S16" s="563" t="str">
        <f>IF(Ofwat_PC_Interventions!S16&lt;&gt;"",Ofwat_PC_Interventions!S16,IF(Company_PC_inputs!S16&lt;&gt;"",Company_PC_inputs!S16,""))</f>
        <v>PR19NES_BES08</v>
      </c>
      <c r="T16" s="563" t="str">
        <f>IF(Ofwat_PC_Interventions!T16&lt;&gt;"",Ofwat_PC_Interventions!T16,IF(Company_PC_inputs!T16&lt;&gt;"",Company_PC_inputs!T16,""))</f>
        <v>PR19NES_BES09</v>
      </c>
      <c r="U16" s="563" t="str">
        <f>IF(Ofwat_PC_Interventions!U16&lt;&gt;"",Ofwat_PC_Interventions!U16,IF(Company_PC_inputs!U16&lt;&gt;"",Company_PC_inputs!U16,""))</f>
        <v>PR19NES_BES11</v>
      </c>
      <c r="V16" s="563" t="str">
        <f>IF(Ofwat_PC_Interventions!V16&lt;&gt;"",Ofwat_PC_Interventions!V16,IF(Company_PC_inputs!V16&lt;&gt;"",Company_PC_inputs!V16,""))</f>
        <v>PR19NES_BES12</v>
      </c>
      <c r="W16" s="563" t="str">
        <f>IF(Ofwat_PC_Interventions!W16&lt;&gt;"",Ofwat_PC_Interventions!W16,IF(Company_PC_inputs!W16&lt;&gt;"",Company_PC_inputs!W16,""))</f>
        <v>PR19NES_BES13</v>
      </c>
      <c r="X16" s="563" t="str">
        <f>IF(Ofwat_PC_Interventions!X16&lt;&gt;"",Ofwat_PC_Interventions!X16,IF(Company_PC_inputs!X16&lt;&gt;"",Company_PC_inputs!X16,""))</f>
        <v>PR19NES_BES14</v>
      </c>
      <c r="Y16" s="563" t="str">
        <f>IF(Ofwat_PC_Interventions!Y16&lt;&gt;"",Ofwat_PC_Interventions!Y16,IF(Company_PC_inputs!Y16&lt;&gt;"",Company_PC_inputs!Y16,""))</f>
        <v>PR19NES_BES18</v>
      </c>
      <c r="Z16" s="563" t="str">
        <f>IF(Ofwat_PC_Interventions!Z16&lt;&gt;"",Ofwat_PC_Interventions!Z16,IF(Company_PC_inputs!Z16&lt;&gt;"",Company_PC_inputs!Z16,""))</f>
        <v>PR19NES_BES20</v>
      </c>
      <c r="AA16" s="563" t="str">
        <f>IF(Ofwat_PC_Interventions!AA16&lt;&gt;"",Ofwat_PC_Interventions!AA16,IF(Company_PC_inputs!AA16&lt;&gt;"",Company_PC_inputs!AA16,""))</f>
        <v>PR19NES_BES21</v>
      </c>
      <c r="AB16" s="563" t="str">
        <f>IF(Ofwat_PC_Interventions!AB16&lt;&gt;"",Ofwat_PC_Interventions!AB16,IF(Company_PC_inputs!AB16&lt;&gt;"",Company_PC_inputs!AB16,""))</f>
        <v>PR19NES_BES24</v>
      </c>
      <c r="AC16" s="563" t="str">
        <f>IF(Ofwat_PC_Interventions!AC16&lt;&gt;"",Ofwat_PC_Interventions!AC16,IF(Company_PC_inputs!AC16&lt;&gt;"",Company_PC_inputs!AC16,""))</f>
        <v>PR19NES_BES25</v>
      </c>
      <c r="AD16" s="563" t="str">
        <f>IF(Ofwat_PC_Interventions!AD16&lt;&gt;"",Ofwat_PC_Interventions!AD16,IF(Company_PC_inputs!AD16&lt;&gt;"",Company_PC_inputs!AD16,""))</f>
        <v>PR19NES_BES26</v>
      </c>
      <c r="AE16" s="563" t="str">
        <f>IF(Ofwat_PC_Interventions!AE16&lt;&gt;"",Ofwat_PC_Interventions!AE16,IF(Company_PC_inputs!AE16&lt;&gt;"",Company_PC_inputs!AE16,""))</f>
        <v>PR19NES_BES28</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PR19NES_COM08</v>
      </c>
      <c r="AM16" s="563" t="str">
        <f>IF(Ofwat_PC_Interventions!AM16&lt;&gt;"",Ofwat_PC_Interventions!AM16,IF(Company_PC_inputs!AM16&lt;&gt;"",Company_PC_inputs!AM16,""))</f>
        <v>PR19NES_COM09</v>
      </c>
      <c r="AN16" s="563" t="str">
        <f>IF(Ofwat_PC_Interventions!AN16&lt;&gt;"",Ofwat_PC_Interventions!AN16,IF(Company_PC_inputs!AN16&lt;&gt;"",Company_PC_inputs!AN16,""))</f>
        <v>PR19NES_COM14</v>
      </c>
      <c r="AO16" s="564" t="str">
        <f>IF(Ofwat_PC_Interventions!AO16&lt;&gt;"",Ofwat_PC_Interventions!AO16,IF(Company_PC_inputs!AO16&lt;&gt;"",Company_PC_inputs!AO16,""))</f>
        <v>PR19NES_COM15</v>
      </c>
      <c r="AP16" s="563" t="str">
        <f>IF(Ofwat_PC_Interventions!AP16&lt;&gt;"",Ofwat_PC_Interventions!AP16,IF(Company_PC_inputs!AP16&lt;&gt;"",Company_PC_inputs!AP16,""))</f>
        <v>PR19NES_BES15</v>
      </c>
      <c r="AQ16" s="563" t="str">
        <f>IF(Ofwat_PC_Interventions!AQ16&lt;&gt;"",Ofwat_PC_Interventions!AQ16,IF(Company_PC_inputs!AQ16&lt;&gt;"",Company_PC_inputs!AQ16,""))</f>
        <v>PR19NES_BES16</v>
      </c>
      <c r="AR16" s="563" t="str">
        <f>IF(Ofwat_PC_Interventions!AR16&lt;&gt;"",Ofwat_PC_Interventions!AR16,IF(Company_PC_inputs!AR16&lt;&gt;"",Company_PC_inputs!AR16,""))</f>
        <v>PR19NES_BES17</v>
      </c>
      <c r="AS16" s="563" t="str">
        <f>IF(Ofwat_PC_Interventions!AS16&lt;&gt;"",Ofwat_PC_Interventions!AS16,IF(Company_PC_inputs!AS16&lt;&gt;"",Company_PC_inputs!AS16,""))</f>
        <v>PR19NES_BES19</v>
      </c>
      <c r="AT16" s="563" t="str">
        <f>IF(Ofwat_PC_Interventions!AT16&lt;&gt;"",Ofwat_PC_Interventions!AT16,IF(Company_PC_inputs!AT16&lt;&gt;"",Company_PC_inputs!AT16,""))</f>
        <v>PR19NES_BES27</v>
      </c>
      <c r="AU16" s="563" t="str">
        <f>IF(Ofwat_PC_Interventions!AU16&lt;&gt;"",Ofwat_PC_Interventions!AU16,IF(Company_PC_inputs!AU16&lt;&gt;"",Company_PC_inputs!AU16,""))</f>
        <v>PR19NES_BES31</v>
      </c>
      <c r="AV16" s="563" t="str">
        <f>IF(Ofwat_PC_Interventions!AV16&lt;&gt;"",Ofwat_PC_Interventions!AV16,IF(Company_PC_inputs!AV16&lt;&gt;"",Company_PC_inputs!AV16,""))</f>
        <v>PR19NES_BES29</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6">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NW region</v>
      </c>
      <c r="M17" s="565" t="str">
        <f>IF(Ofwat_PC_Interventions!M17&lt;&gt;"",Ofwat_PC_Interventions!M17,IF(Company_PC_inputs!M17&lt;&gt;"",Company_PC_inputs!M17,""))</f>
        <v>Leakage ESW region</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Visible leak repair time</v>
      </c>
      <c r="S17" s="565" t="str">
        <f>IF(Ofwat_PC_Interventions!S17&lt;&gt;"",Ofwat_PC_Interventions!S17,IF(Company_PC_inputs!S17&lt;&gt;"",Company_PC_inputs!S17,""))</f>
        <v xml:space="preserve">Voids </v>
      </c>
      <c r="T17" s="565" t="str">
        <f>IF(Ofwat_PC_Interventions!T17&lt;&gt;"",Ofwat_PC_Interventions!T17,IF(Company_PC_inputs!T17&lt;&gt;"",Company_PC_inputs!T17,""))</f>
        <v>Interruptions to supply greater than 12 hours</v>
      </c>
      <c r="U17" s="565" t="str">
        <f>IF(Ofwat_PC_Interventions!U17&lt;&gt;"",Ofwat_PC_Interventions!U17,IF(Company_PC_inputs!U17&lt;&gt;"",Company_PC_inputs!U17,""))</f>
        <v>Discoloured water contacts</v>
      </c>
      <c r="V17" s="565" t="str">
        <f>IF(Ofwat_PC_Interventions!V17&lt;&gt;"",Ofwat_PC_Interventions!V17,IF(Company_PC_inputs!V17&lt;&gt;"",Company_PC_inputs!V17,""))</f>
        <v>Taste and smell contacts</v>
      </c>
      <c r="W17" s="565" t="str">
        <f>IF(Ofwat_PC_Interventions!W17&lt;&gt;"",Ofwat_PC_Interventions!W17,IF(Company_PC_inputs!W17&lt;&gt;"",Company_PC_inputs!W17,""))</f>
        <v xml:space="preserve">Event Risk Index  </v>
      </c>
      <c r="X17" s="565" t="str">
        <f>IF(Ofwat_PC_Interventions!X17&lt;&gt;"",Ofwat_PC_Interventions!X17,IF(Company_PC_inputs!X17&lt;&gt;"",Company_PC_inputs!X17,""))</f>
        <v xml:space="preserve">Interruptions to supply between one and three hours </v>
      </c>
      <c r="Y17" s="565" t="str">
        <f>IF(Ofwat_PC_Interventions!Y17&lt;&gt;"",Ofwat_PC_Interventions!Y17,IF(Company_PC_inputs!Y17&lt;&gt;"",Company_PC_inputs!Y17,""))</f>
        <v>Abstraction incentive mechanism (AIM)</v>
      </c>
      <c r="Z17" s="565" t="str">
        <f>IF(Ofwat_PC_Interventions!Z17&lt;&gt;"",Ofwat_PC_Interventions!Z17,IF(Company_PC_inputs!Z17&lt;&gt;"",Company_PC_inputs!Z17,""))</f>
        <v>Water environment improvements</v>
      </c>
      <c r="AA17" s="565" t="str">
        <f>IF(Ofwat_PC_Interventions!AA17&lt;&gt;"",Ofwat_PC_Interventions!AA17,IF(Company_PC_inputs!AA17&lt;&gt;"",Company_PC_inputs!AA17,""))</f>
        <v>Greenhouse Gas Emissions</v>
      </c>
      <c r="AB17" s="565" t="str">
        <f>IF(Ofwat_PC_Interventions!AB17&lt;&gt;"",Ofwat_PC_Interventions!AB17,IF(Company_PC_inputs!AB17&lt;&gt;"",Company_PC_inputs!AB17,""))</f>
        <v>Delivery of water resilience enhanced programme</v>
      </c>
      <c r="AC17" s="565" t="str">
        <f>IF(Ofwat_PC_Interventions!AC17&lt;&gt;"",Ofwat_PC_Interventions!AC17,IF(Company_PC_inputs!AC17&lt;&gt;"",Company_PC_inputs!AC17,""))</f>
        <v>Delivery of lead enhancement programme</v>
      </c>
      <c r="AD17" s="565" t="str">
        <f>IF(Ofwat_PC_Interventions!AD17&lt;&gt;"",Ofwat_PC_Interventions!AD17,IF(Company_PC_inputs!AD17&lt;&gt;"",Company_PC_inputs!AD17,""))</f>
        <v>Delivery of smart water metering enhancement programme</v>
      </c>
      <c r="AE17" s="565" t="str">
        <f>IF(Ofwat_PC_Interventions!AE17&lt;&gt;"",Ofwat_PC_Interventions!AE17,IF(Company_PC_inputs!AE17&lt;&gt;"",Company_PC_inputs!AE17,""))</f>
        <v>Delivery of cyber resilience enhancement programme</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Sewer blockages</v>
      </c>
      <c r="AQ17" s="565" t="str">
        <f>IF(Ofwat_PC_Interventions!AQ17&lt;&gt;"",Ofwat_PC_Interventions!AQ17,IF(Company_PC_inputs!AQ17&lt;&gt;"",Company_PC_inputs!AQ17,""))</f>
        <v>External sewer flooding</v>
      </c>
      <c r="AR17" s="565" t="str">
        <f>IF(Ofwat_PC_Interventions!AR17&lt;&gt;"",Ofwat_PC_Interventions!AR17,IF(Company_PC_inputs!AR17&lt;&gt;"",Company_PC_inputs!AR17,""))</f>
        <v xml:space="preserve">Repeat sewer flooding </v>
      </c>
      <c r="AS17" s="565" t="str">
        <f>IF(Ofwat_PC_Interventions!AS17&lt;&gt;"",Ofwat_PC_Interventions!AS17,IF(Company_PC_inputs!AS17&lt;&gt;"",Company_PC_inputs!AS17,""))</f>
        <v xml:space="preserve">Bathing water compliance </v>
      </c>
      <c r="AT17" s="565" t="str">
        <f>IF(Ofwat_PC_Interventions!AT17&lt;&gt;"",Ofwat_PC_Interventions!AT17,IF(Company_PC_inputs!AT17&lt;&gt;"",Company_PC_inputs!AT17,""))</f>
        <v>Delivery wastewater resilience enhancement programme</v>
      </c>
      <c r="AU17" s="565" t="str">
        <f>IF(Ofwat_PC_Interventions!AU17&lt;&gt;"",Ofwat_PC_Interventions!AU17,IF(Company_PC_inputs!AU17&lt;&gt;"",Company_PC_inputs!AU17,""))</f>
        <v>Water Industry National Environment Programme</v>
      </c>
      <c r="AV17" s="565" t="str">
        <f>IF(Ofwat_PC_Interventions!AV17&lt;&gt;"",Ofwat_PC_Interventions!AV17,IF(Company_PC_inputs!AV17&lt;&gt;"",Company_PC_inputs!AV17,""))</f>
        <v>Delivery of Howdon STW enhancement</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f>IF(Ofwat_PC_Interventions!X27&lt;&gt;"",Ofwat_PC_Interventions!X27,IF(Company_PC_inputs!X27&lt;&gt;"",Company_PC_inputs!X27,""))</f>
        <v>-0.39400000000000002</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 xml:space="preserve">% </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tCO2e</v>
      </c>
      <c r="AB31" s="481" t="str">
        <f>IF(Ofwat_PC_Interventions!AB31&lt;&gt;"",Ofwat_PC_Interventions!AB31,IF(Company_PC_inputs!AB31&lt;&gt;"",Company_PC_inputs!AB31,""))</f>
        <v>%</v>
      </c>
      <c r="AC31" s="481" t="str">
        <f>IF(Ofwat_PC_Interventions!AC31&lt;&gt;"",Ofwat_PC_Interventions!AC31,IF(Company_PC_inputs!AC31&lt;&gt;"",Company_PC_inputs!AC31,""))</f>
        <v>%</v>
      </c>
      <c r="AD31" s="481" t="str">
        <f>IF(Ofwat_PC_Interventions!AD31&lt;&gt;"",Ofwat_PC_Interventions!AD31,IF(Company_PC_inputs!AD31&lt;&gt;"",Company_PC_inputs!AD31,""))</f>
        <v>%</v>
      </c>
      <c r="AE31" s="481" t="str">
        <f>IF(Ofwat_PC_Interventions!AE31&lt;&gt;"",Ofwat_PC_Interventions!AE31,IF(Company_PC_inputs!AE31&lt;&gt;"",Company_PC_inputs!AE31,""))</f>
        <v>%</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months</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943</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Revenue</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944</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End of period</v>
      </c>
      <c r="AC34" s="485" t="str">
        <f>IF(Ofwat_PC_Interventions!AC34&lt;&gt;"",Ofwat_PC_Interventions!AC34,IF(Company_PC_inputs!AC34&lt;&gt;"",Company_PC_inputs!AC34,""))</f>
        <v>End of period</v>
      </c>
      <c r="AD34" s="485" t="str">
        <f>IF(Ofwat_PC_Interventions!AD34&lt;&gt;"",Ofwat_PC_Interventions!AD34,IF(Company_PC_inputs!AD34&lt;&gt;"",Company_PC_inputs!AD34,""))</f>
        <v>End of period</v>
      </c>
      <c r="AE34" s="485" t="str">
        <f>IF(Ofwat_PC_Interventions!AE34&lt;&gt;"",Ofwat_PC_Interventions!AE34,IF(Company_PC_inputs!AE34&lt;&gt;"",Company_PC_inputs!AE34,""))</f>
        <v>In-period</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In-period</v>
      </c>
      <c r="AV34" s="485" t="str">
        <f>IF(Ofwat_PC_Interventions!AV34&lt;&gt;"",Ofwat_PC_Interventions!AV34,IF(Company_PC_inputs!AV34&lt;&gt;"",Company_PC_inputs!AV34,""))</f>
        <v>End of period</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0</v>
      </c>
      <c r="AD36" s="485" t="b">
        <f>IF(Ofwat_PC_Interventions!AD36&lt;&gt;"",Ofwat_PC_Interventions!AD36,IF(Company_PC_inputs!AD36&lt;&gt;"",Company_PC_inputs!AD36,""))</f>
        <v>0</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Down</v>
      </c>
      <c r="Z38" s="485" t="str">
        <f>IF(Ofwat_PC_Interventions!Z38&lt;&gt;"",Ofwat_PC_Interventions!Z38,IF(Company_PC_inputs!Z38&lt;&gt;"",Company_PC_inputs!Z38,""))</f>
        <v>Up</v>
      </c>
      <c r="AA38" s="485" t="str">
        <f>IF(Ofwat_PC_Interventions!AA38&lt;&gt;"",Ofwat_PC_Interventions!AA38,IF(Company_PC_inputs!AA38&lt;&gt;"",Company_PC_inputs!AA38,""))</f>
        <v>Up</v>
      </c>
      <c r="AB38" s="485" t="str">
        <f>IF(Ofwat_PC_Interventions!AB38&lt;&gt;"",Ofwat_PC_Interventions!AB38,IF(Company_PC_inputs!AB38&lt;&gt;"",Company_PC_inputs!AB38,""))</f>
        <v>Up</v>
      </c>
      <c r="AC38" s="485" t="str">
        <f>IF(Ofwat_PC_Interventions!AC38&lt;&gt;"",Ofwat_PC_Interventions!AC38,IF(Company_PC_inputs!AC38&lt;&gt;"",Company_PC_inputs!AC38,""))</f>
        <v>Up</v>
      </c>
      <c r="AD38" s="485" t="str">
        <f>IF(Ofwat_PC_Interventions!AD38&lt;&gt;"",Ofwat_PC_Interventions!AD38,IF(Company_PC_inputs!AD38&lt;&gt;"",Company_PC_inputs!AD38,""))</f>
        <v>Up</v>
      </c>
      <c r="AE38" s="485" t="str">
        <f>IF(Ofwat_PC_Interventions!AE38&lt;&gt;"",Ofwat_PC_Interventions!AE38,IF(Company_PC_inputs!AE38&lt;&gt;"",Company_PC_inputs!AE38,""))</f>
        <v>Up</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Down</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3</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1</v>
      </c>
      <c r="AA40" s="485">
        <f>IF(Ofwat_PC_Interventions!AA40&lt;&gt;"",Ofwat_PC_Interventions!AA40,IF(Company_PC_inputs!AA40&lt;&gt;"",Company_PC_inputs!AA40,""))</f>
        <v>0</v>
      </c>
      <c r="AB40" s="485">
        <f>IF(Ofwat_PC_Interventions!AB40&lt;&gt;"",Ofwat_PC_Interventions!AB40,IF(Company_PC_inputs!AB40&lt;&gt;"",Company_PC_inputs!AB40,""))</f>
        <v>1</v>
      </c>
      <c r="AC40" s="485">
        <f>IF(Ofwat_PC_Interventions!AC40&lt;&gt;"",Ofwat_PC_Interventions!AC40,IF(Company_PC_inputs!AC40&lt;&gt;"",Company_PC_inputs!AC40,""))</f>
        <v>1</v>
      </c>
      <c r="AD40" s="485">
        <f>IF(Ofwat_PC_Interventions!AD40&lt;&gt;"",Ofwat_PC_Interventions!AD40,IF(Company_PC_inputs!AD40&lt;&gt;"",Company_PC_inputs!AD40,""))</f>
        <v>1</v>
      </c>
      <c r="AE40" s="485">
        <f>IF(Ofwat_PC_Interventions!AE40&lt;&gt;"",Ofwat_PC_Interventions!AE40,IF(Company_PC_inputs!AE40&lt;&gt;"",Company_PC_inputs!AE40,""))</f>
        <v>1</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2</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0</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949</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1.4351851851851854E-3</v>
      </c>
      <c r="L43" s="481" t="str">
        <f>IF(Ofwat_PC_Interventions!L43&lt;&gt;"",Ofwat_PC_Interventions!L43,IF(Company_PC_inputs!L43&lt;&gt;"",Company_PC_inputs!L43,""))</f>
        <v>*</v>
      </c>
      <c r="M43" s="481" t="str">
        <f>IF(Ofwat_PC_Interventions!M43&lt;&gt;"",Ofwat_PC_Interventions!M43,IF(Company_PC_inputs!M43&lt;&gt;"",Company_PC_inputs!M43,""))</f>
        <v>*</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114.3</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3.75</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1.17</v>
      </c>
      <c r="AM43" s="481">
        <f>IF(Ofwat_PC_Interventions!AM43&lt;&gt;"",Ofwat_PC_Interventions!AM43,IF(Company_PC_inputs!AM43&lt;&gt;"",Company_PC_inputs!AM43,""))</f>
        <v>10.82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f>IF(Ofwat_PC_Interventions!AQ43&lt;&gt;"",Ofwat_PC_Interventions!AQ43,IF(Company_PC_inputs!AQ43&lt;&gt;"",Company_PC_inputs!AQ43,""))</f>
        <v>2487</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951</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9</v>
      </c>
      <c r="M45" s="481">
        <f>IF(Ofwat_PC_Interventions!M45&lt;&gt;"",Ofwat_PC_Interventions!M45,IF(Company_PC_inputs!M45&lt;&gt;"",Company_PC_inputs!M45,""))</f>
        <v>10.5</v>
      </c>
      <c r="N45" s="481">
        <f>IF(Ofwat_PC_Interventions!N45&lt;&gt;"",Ofwat_PC_Interventions!N45,IF(Company_PC_inputs!N45&lt;&gt;"",Company_PC_inputs!N45,""))</f>
        <v>4.0999999999999996</v>
      </c>
      <c r="O45" s="481" t="str">
        <f>IF(Ofwat_PC_Interventions!O45&lt;&gt;"",Ofwat_PC_Interventions!O45,IF(Company_PC_inputs!O45&lt;&gt;"",Company_PC_inputs!O45,""))</f>
        <v/>
      </c>
      <c r="P45" s="481">
        <f>IF(Ofwat_PC_Interventions!P45&lt;&gt;"",Ofwat_PC_Interventions!P45,IF(Company_PC_inputs!P45&lt;&gt;"",Company_PC_inputs!P45,""))</f>
        <v>127.9</v>
      </c>
      <c r="Q45" s="482">
        <f>IF(Ofwat_PC_Interventions!Q45&lt;&gt;"",Ofwat_PC_Interventions!Q45,IF(Company_PC_inputs!Q45&lt;&gt;"",Company_PC_inputs!Q45,""))</f>
        <v>3.35</v>
      </c>
      <c r="R45" s="481">
        <f>IF(Ofwat_PC_Interventions!R45&lt;&gt;"",Ofwat_PC_Interventions!R45,IF(Company_PC_inputs!R45&lt;&gt;"",Company_PC_inputs!R45,""))</f>
        <v>4</v>
      </c>
      <c r="S45" s="481">
        <f>IF(Ofwat_PC_Interventions!S45&lt;&gt;"",Ofwat_PC_Interventions!S45,IF(Company_PC_inputs!S45&lt;&gt;"",Company_PC_inputs!S45,""))</f>
        <v>4.25</v>
      </c>
      <c r="T45" s="481">
        <f>IF(Ofwat_PC_Interventions!T45&lt;&gt;"",Ofwat_PC_Interventions!T45,IF(Company_PC_inputs!T45&lt;&gt;"",Company_PC_inputs!T45,""))</f>
        <v>425</v>
      </c>
      <c r="U45" s="481">
        <f>IF(Ofwat_PC_Interventions!U45&lt;&gt;"",Ofwat_PC_Interventions!U45,IF(Company_PC_inputs!U45&lt;&gt;"",Company_PC_inputs!U45,""))</f>
        <v>8.2100000000000009</v>
      </c>
      <c r="V45" s="481">
        <f>IF(Ofwat_PC_Interventions!V45&lt;&gt;"",Ofwat_PC_Interventions!V45,IF(Company_PC_inputs!V45&lt;&gt;"",Company_PC_inputs!V45,""))</f>
        <v>2.04</v>
      </c>
      <c r="W45" s="481">
        <f>IF(Ofwat_PC_Interventions!W45&lt;&gt;"",Ofwat_PC_Interventions!W45,IF(Company_PC_inputs!W45&lt;&gt;"",Company_PC_inputs!W45,""))</f>
        <v>81.87</v>
      </c>
      <c r="X45" s="481">
        <f>IF(Ofwat_PC_Interventions!X45&lt;&gt;"",Ofwat_PC_Interventions!X45,IF(Company_PC_inputs!X45&lt;&gt;"",Company_PC_inputs!X45,""))</f>
        <v>92.5</v>
      </c>
      <c r="Y45" s="481">
        <f>IF(Ofwat_PC_Interventions!Y45&lt;&gt;"",Ofwat_PC_Interventions!Y45,IF(Company_PC_inputs!Y45&lt;&gt;"",Company_PC_inputs!Y45,""))</f>
        <v>0</v>
      </c>
      <c r="Z45" s="481">
        <f>IF(Ofwat_PC_Interventions!Z45&lt;&gt;"",Ofwat_PC_Interventions!Z45,IF(Company_PC_inputs!Z45&lt;&gt;"",Company_PC_inputs!Z45,""))</f>
        <v>10</v>
      </c>
      <c r="AA45" s="481">
        <f>IF(Ofwat_PC_Interventions!AA45&lt;&gt;"",Ofwat_PC_Interventions!AA45,IF(Company_PC_inputs!AA45&lt;&gt;"",Company_PC_inputs!AA45,""))</f>
        <v>7941</v>
      </c>
      <c r="AB45" s="481">
        <f>IF(Ofwat_PC_Interventions!AB45&lt;&gt;"",Ofwat_PC_Interventions!AB45,IF(Company_PC_inputs!AB45&lt;&gt;"",Company_PC_inputs!AB45,""))</f>
        <v>0</v>
      </c>
      <c r="AC45" s="481">
        <f>IF(Ofwat_PC_Interventions!AC45&lt;&gt;"",Ofwat_PC_Interventions!AC45,IF(Company_PC_inputs!AC45&lt;&gt;"",Company_PC_inputs!AC45,""))</f>
        <v>78.8</v>
      </c>
      <c r="AD45" s="481">
        <f>IF(Ofwat_PC_Interventions!AD45&lt;&gt;"",Ofwat_PC_Interventions!AD45,IF(Company_PC_inputs!AD45&lt;&gt;"",Company_PC_inputs!AD45,""))</f>
        <v>80.400000000000006</v>
      </c>
      <c r="AE45" s="481">
        <f>IF(Ofwat_PC_Interventions!AE45&lt;&gt;"",Ofwat_PC_Interventions!AE45,IF(Company_PC_inputs!AE45&lt;&gt;"",Company_PC_inputs!AE45,""))</f>
        <v>40.4</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1.44</v>
      </c>
      <c r="AM45" s="481">
        <f>IF(Ofwat_PC_Interventions!AM45&lt;&gt;"",Ofwat_PC_Interventions!AM45,IF(Company_PC_inputs!AM45&lt;&gt;"",Company_PC_inputs!AM45,""))</f>
        <v>22.4</v>
      </c>
      <c r="AN45" s="481">
        <f>IF(Ofwat_PC_Interventions!AN45&lt;&gt;"",Ofwat_PC_Interventions!AN45,IF(Company_PC_inputs!AN45&lt;&gt;"",Company_PC_inputs!AN45,""))</f>
        <v>8.7899999999999991</v>
      </c>
      <c r="AO45" s="482">
        <f>IF(Ofwat_PC_Interventions!AO45&lt;&gt;"",Ofwat_PC_Interventions!AO45,IF(Company_PC_inputs!AO45&lt;&gt;"",Company_PC_inputs!AO45,""))</f>
        <v>100</v>
      </c>
      <c r="AP45" s="481">
        <f>IF(Ofwat_PC_Interventions!AP45&lt;&gt;"",Ofwat_PC_Interventions!AP45,IF(Company_PC_inputs!AP45&lt;&gt;"",Company_PC_inputs!AP45,""))</f>
        <v>10950</v>
      </c>
      <c r="AQ45" s="481">
        <f>IF(Ofwat_PC_Interventions!AQ45&lt;&gt;"",Ofwat_PC_Interventions!AQ45,IF(Company_PC_inputs!AQ45&lt;&gt;"",Company_PC_inputs!AQ45,""))</f>
        <v>2828</v>
      </c>
      <c r="AR45" s="481">
        <f>IF(Ofwat_PC_Interventions!AR45&lt;&gt;"",Ofwat_PC_Interventions!AR45,IF(Company_PC_inputs!AR45&lt;&gt;"",Company_PC_inputs!AR45,""))</f>
        <v>39</v>
      </c>
      <c r="AS45" s="481">
        <f>IF(Ofwat_PC_Interventions!AS45&lt;&gt;"",Ofwat_PC_Interventions!AS45,IF(Company_PC_inputs!AS45&lt;&gt;"",Company_PC_inputs!AS45,""))</f>
        <v>97.06</v>
      </c>
      <c r="AT45" s="481">
        <f>IF(Ofwat_PC_Interventions!AT45&lt;&gt;"",Ofwat_PC_Interventions!AT45,IF(Company_PC_inputs!AT45&lt;&gt;"",Company_PC_inputs!AT45,""))</f>
        <v>105</v>
      </c>
      <c r="AU45" s="481">
        <f>IF(Ofwat_PC_Interventions!AU45&lt;&gt;"",Ofwat_PC_Interventions!AU45,IF(Company_PC_inputs!AU45&lt;&gt;"",Company_PC_inputs!AU45,""))</f>
        <v>535</v>
      </c>
      <c r="AV45" s="481">
        <f>IF(Ofwat_PC_Interventions!AV45&lt;&gt;"",Ofwat_PC_Interventions!AV45,IF(Company_PC_inputs!AV45&lt;&gt;"",Company_PC_inputs!AV45,""))</f>
        <v>0</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952</v>
      </c>
      <c r="F46" s="444"/>
      <c r="G46" s="444" t="s">
        <v>1073</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137.9</v>
      </c>
      <c r="Q46" s="482">
        <f>IF(Ofwat_PC_Interventions!Q46&lt;&gt;"",Ofwat_PC_Interventions!Q46,IF(Company_PC_inputs!Q46&lt;&gt;"",Company_PC_inputs!Q46,""))</f>
        <v>4.0199999999999996</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953</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-38</v>
      </c>
      <c r="M47" s="481">
        <f>IF(Ofwat_PC_Interventions!M47&lt;&gt;"",Ofwat_PC_Interventions!M47,IF(Company_PC_inputs!M47&lt;&gt;"",Company_PC_inputs!M47,""))</f>
        <v>-77.3</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198.6</v>
      </c>
      <c r="Q47" s="482">
        <f>IF(Ofwat_PC_Interventions!Q47&lt;&gt;"",Ofwat_PC_Interventions!Q47,IF(Company_PC_inputs!Q47&lt;&gt;"",Company_PC_inputs!Q47,""))</f>
        <v>12.74</v>
      </c>
      <c r="R47" s="481" t="str">
        <f>IF(Ofwat_PC_Interventions!R47&lt;&gt;"",Ofwat_PC_Interventions!R47,IF(Company_PC_inputs!R47&lt;&gt;"",Company_PC_inputs!R47,""))</f>
        <v/>
      </c>
      <c r="S47" s="481">
        <f>IF(Ofwat_PC_Interventions!S47&lt;&gt;"",Ofwat_PC_Interventions!S47,IF(Company_PC_inputs!S47&lt;&gt;"",Company_PC_inputs!S47,""))</f>
        <v>4.9400000000000004</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180</v>
      </c>
      <c r="X47" s="481" t="str">
        <f>IF(Ofwat_PC_Interventions!X47&lt;&gt;"",Ofwat_PC_Interventions!X47,IF(Company_PC_inputs!X47&lt;&gt;"",Company_PC_inputs!X47,""))</f>
        <v/>
      </c>
      <c r="Y47" s="481">
        <f>IF(Ofwat_PC_Interventions!Y47&lt;&gt;"",Ofwat_PC_Interventions!Y47,IF(Company_PC_inputs!Y47&lt;&gt;"",Company_PC_inputs!Y47,""))</f>
        <v>36</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3.6</v>
      </c>
      <c r="AM47" s="481">
        <f>IF(Ofwat_PC_Interventions!AM47&lt;&gt;"",Ofwat_PC_Interventions!AM47,IF(Company_PC_inputs!AM47&lt;&gt;"",Company_PC_inputs!AM47,""))</f>
        <v>41.6</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f>IF(Ofwat_PC_Interventions!AQ47&lt;&gt;"",Ofwat_PC_Interventions!AQ47,IF(Company_PC_inputs!AQ47&lt;&gt;"",Company_PC_inputs!AQ47,""))</f>
        <v>5058</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1.028</v>
      </c>
      <c r="L49" s="567">
        <f>IF(Ofwat_PC_Interventions!L49&lt;&gt;"",Ofwat_PC_Interventions!L49,IF(Company_PC_inputs!L49&lt;&gt;"",Company_PC_inputs!L49,""))</f>
        <v>0.15</v>
      </c>
      <c r="M49" s="567">
        <f>IF(Ofwat_PC_Interventions!M49&lt;&gt;"",Ofwat_PC_Interventions!M49,IF(Company_PC_inputs!M49&lt;&gt;"",Company_PC_inputs!M49,""))</f>
        <v>0.154</v>
      </c>
      <c r="N49" s="567">
        <f>IF(Ofwat_PC_Interventions!N49&lt;&gt;"",Ofwat_PC_Interventions!N49,IF(Company_PC_inputs!N49&lt;&gt;"",Company_PC_inputs!N49,""))</f>
        <v>0.17499999999999999</v>
      </c>
      <c r="O49" s="567" t="str">
        <f>IF(Ofwat_PC_Interventions!O49&lt;&gt;"",Ofwat_PC_Interventions!O49,IF(Company_PC_inputs!O49&lt;&gt;"",Company_PC_inputs!O49,""))</f>
        <v/>
      </c>
      <c r="P49" s="567">
        <f>IF(Ofwat_PC_Interventions!P49&lt;&gt;"",Ofwat_PC_Interventions!P49,IF(Company_PC_inputs!P49&lt;&gt;"",Company_PC_inputs!P49,""))</f>
        <v>9.8000000000000004E-2</v>
      </c>
      <c r="Q49" s="568" t="str">
        <f>IF(Ofwat_PC_Interventions!Q49&lt;&gt;"",Ofwat_PC_Interventions!Q49,IF(Company_PC_inputs!Q49&lt;&gt;"",Company_PC_inputs!Q49,""))</f>
        <v/>
      </c>
      <c r="R49" s="567">
        <f>IF(Ofwat_PC_Interventions!R49&lt;&gt;"",Ofwat_PC_Interventions!R49,IF(Company_PC_inputs!R49&lt;&gt;"",Company_PC_inputs!R49,""))</f>
        <v>0.26100000000000001</v>
      </c>
      <c r="S49" s="567">
        <f>IF(Ofwat_PC_Interventions!S49&lt;&gt;"",Ofwat_PC_Interventions!S49,IF(Company_PC_inputs!S49&lt;&gt;"",Company_PC_inputs!S49,""))</f>
        <v>2.665</v>
      </c>
      <c r="T49" s="567">
        <f>IF(Ofwat_PC_Interventions!T49&lt;&gt;"",Ofwat_PC_Interventions!T49,IF(Company_PC_inputs!T49&lt;&gt;"",Company_PC_inputs!T49,""))</f>
        <v>3.31E-3</v>
      </c>
      <c r="U49" s="567">
        <f>IF(Ofwat_PC_Interventions!U49&lt;&gt;"",Ofwat_PC_Interventions!U49,IF(Company_PC_inputs!U49&lt;&gt;"",Company_PC_inputs!U49,""))</f>
        <v>0.878</v>
      </c>
      <c r="V49" s="567">
        <f>IF(Ofwat_PC_Interventions!V49&lt;&gt;"",Ofwat_PC_Interventions!V49,IF(Company_PC_inputs!V49&lt;&gt;"",Company_PC_inputs!V49,""))</f>
        <v>0.878</v>
      </c>
      <c r="W49" s="567" t="str">
        <f>IF(Ofwat_PC_Interventions!W49&lt;&gt;"",Ofwat_PC_Interventions!W49,IF(Company_PC_inputs!W49&lt;&gt;"",Company_PC_inputs!W49,""))</f>
        <v/>
      </c>
      <c r="X49" s="567">
        <f>IF(Ofwat_PC_Interventions!X49&lt;&gt;"",Ofwat_PC_Interventions!X49,IF(Company_PC_inputs!X49&lt;&gt;"",Company_PC_inputs!X49,""))</f>
        <v>0.77100000000000002</v>
      </c>
      <c r="Y49" s="567">
        <f>IF(Ofwat_PC_Interventions!Y49&lt;&gt;"",Ofwat_PC_Interventions!Y49,IF(Company_PC_inputs!Y49&lt;&gt;"",Company_PC_inputs!Y49,""))</f>
        <v>4.1999999999999998E-5</v>
      </c>
      <c r="Z49" s="567">
        <f>IF(Ofwat_PC_Interventions!Z49&lt;&gt;"",Ofwat_PC_Interventions!Z49,IF(Company_PC_inputs!Z49&lt;&gt;"",Company_PC_inputs!Z49,""))</f>
        <v>7.6800000000000002E-3</v>
      </c>
      <c r="AA49" s="567">
        <f>IF(Ofwat_PC_Interventions!AA49&lt;&gt;"",Ofwat_PC_Interventions!AA49,IF(Company_PC_inputs!AA49&lt;&gt;"",Company_PC_inputs!AA49,""))</f>
        <v>1.8699999999999999E-4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2.5230000000000001</v>
      </c>
      <c r="AM49" s="567">
        <f>IF(Ofwat_PC_Interventions!AM49&lt;&gt;"",Ofwat_PC_Interventions!AM49,IF(Company_PC_inputs!AM49&lt;&gt;"",Company_PC_inputs!AM49,""))</f>
        <v>0.29899999999999999</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7.7999999999999999E-4</v>
      </c>
      <c r="AQ49" s="567">
        <f>IF(Ofwat_PC_Interventions!AQ49&lt;&gt;"",Ofwat_PC_Interventions!AQ49,IF(Company_PC_inputs!AQ49&lt;&gt;"",Company_PC_inputs!AQ49,""))</f>
        <v>4.3099999999999996E-3</v>
      </c>
      <c r="AR49" s="567">
        <f>IF(Ofwat_PC_Interventions!AR49&lt;&gt;"",Ofwat_PC_Interventions!AR49,IF(Company_PC_inputs!AR49&lt;&gt;"",Company_PC_inputs!AR49,""))</f>
        <v>5.5100000000000003E-2</v>
      </c>
      <c r="AS49" s="567">
        <f>IF(Ofwat_PC_Interventions!AS49&lt;&gt;"",Ofwat_PC_Interventions!AS49,IF(Company_PC_inputs!AS49&lt;&gt;"",Company_PC_inputs!AS49,""))</f>
        <v>0.249</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-1.3939999999999999</v>
      </c>
      <c r="K50" s="567">
        <f>IF(Ofwat_PC_Interventions!K50&lt;&gt;"",Ofwat_PC_Interventions!K50,IF(Company_PC_inputs!K50&lt;&gt;"",Company_PC_inputs!K50,""))</f>
        <v>-1.028</v>
      </c>
      <c r="L50" s="567">
        <f>IF(Ofwat_PC_Interventions!L50&lt;&gt;"",Ofwat_PC_Interventions!L50,IF(Company_PC_inputs!L50&lt;&gt;"",Company_PC_inputs!L50,""))</f>
        <v>-0.17499999999999999</v>
      </c>
      <c r="M50" s="567">
        <f>IF(Ofwat_PC_Interventions!M50&lt;&gt;"",Ofwat_PC_Interventions!M50,IF(Company_PC_inputs!M50&lt;&gt;"",Company_PC_inputs!M50,""))</f>
        <v>-0.18</v>
      </c>
      <c r="N50" s="567">
        <f>IF(Ofwat_PC_Interventions!N50&lt;&gt;"",Ofwat_PC_Interventions!N50,IF(Company_PC_inputs!N50&lt;&gt;"",Company_PC_inputs!N50,""))</f>
        <v>-0.19800000000000001</v>
      </c>
      <c r="O50" s="567" t="str">
        <f>IF(Ofwat_PC_Interventions!O50&lt;&gt;"",Ofwat_PC_Interventions!O50,IF(Company_PC_inputs!O50&lt;&gt;"",Company_PC_inputs!O50,""))</f>
        <v/>
      </c>
      <c r="P50" s="567">
        <f>IF(Ofwat_PC_Interventions!P50&lt;&gt;"",Ofwat_PC_Interventions!P50,IF(Company_PC_inputs!P50&lt;&gt;"",Company_PC_inputs!P50,""))</f>
        <v>-0.14899999999999999</v>
      </c>
      <c r="Q50" s="568">
        <f>IF(Ofwat_PC_Interventions!Q50&lt;&gt;"",Ofwat_PC_Interventions!Q50,IF(Company_PC_inputs!Q50&lt;&gt;"",Company_PC_inputs!Q50,""))</f>
        <v>-1.72</v>
      </c>
      <c r="R50" s="567">
        <f>IF(Ofwat_PC_Interventions!R50&lt;&gt;"",Ofwat_PC_Interventions!R50,IF(Company_PC_inputs!R50&lt;&gt;"",Company_PC_inputs!R50,""))</f>
        <v>-0.42799999999999999</v>
      </c>
      <c r="S50" s="567">
        <f>IF(Ofwat_PC_Interventions!S50&lt;&gt;"",Ofwat_PC_Interventions!S50,IF(Company_PC_inputs!S50&lt;&gt;"",Company_PC_inputs!S50,""))</f>
        <v>-2.665</v>
      </c>
      <c r="T50" s="567">
        <f>IF(Ofwat_PC_Interventions!T50&lt;&gt;"",Ofwat_PC_Interventions!T50,IF(Company_PC_inputs!T50&lt;&gt;"",Company_PC_inputs!T50,""))</f>
        <v>-3.31E-3</v>
      </c>
      <c r="U50" s="567">
        <f>IF(Ofwat_PC_Interventions!U50&lt;&gt;"",Ofwat_PC_Interventions!U50,IF(Company_PC_inputs!U50&lt;&gt;"",Company_PC_inputs!U50,""))</f>
        <v>-1.054</v>
      </c>
      <c r="V50" s="567">
        <f>IF(Ofwat_PC_Interventions!V50&lt;&gt;"",Ofwat_PC_Interventions!V50,IF(Company_PC_inputs!V50&lt;&gt;"",Company_PC_inputs!V50,""))</f>
        <v>-1.054</v>
      </c>
      <c r="W50" s="567">
        <f>IF(Ofwat_PC_Interventions!W50&lt;&gt;"",Ofwat_PC_Interventions!W50,IF(Company_PC_inputs!W50&lt;&gt;"",Company_PC_inputs!W50,""))</f>
        <v>-2E-3</v>
      </c>
      <c r="X50" s="567">
        <f>IF(Ofwat_PC_Interventions!X50&lt;&gt;"",Ofwat_PC_Interventions!X50,IF(Company_PC_inputs!X50&lt;&gt;"",Company_PC_inputs!X50,""))</f>
        <v>-1.119</v>
      </c>
      <c r="Y50" s="567">
        <f>IF(Ofwat_PC_Interventions!Y50&lt;&gt;"",Ofwat_PC_Interventions!Y50,IF(Company_PC_inputs!Y50&lt;&gt;"",Company_PC_inputs!Y50,""))</f>
        <v>-3.4999999999999997E-5</v>
      </c>
      <c r="Z50" s="567">
        <f>IF(Ofwat_PC_Interventions!Z50&lt;&gt;"",Ofwat_PC_Interventions!Z50,IF(Company_PC_inputs!Z50&lt;&gt;"",Company_PC_inputs!Z50,""))</f>
        <v>-1.189E-2</v>
      </c>
      <c r="AA50" s="567">
        <f>IF(Ofwat_PC_Interventions!AA50&lt;&gt;"",Ofwat_PC_Interventions!AA50,IF(Company_PC_inputs!AA50&lt;&gt;"",Company_PC_inputs!AA50,""))</f>
        <v>-1.8699999999999999E-4</v>
      </c>
      <c r="AB50" s="567">
        <f>IF(Ofwat_PC_Interventions!AB50&lt;&gt;"",Ofwat_PC_Interventions!AB50,IF(Company_PC_inputs!AB50&lt;&gt;"",Company_PC_inputs!AB50,""))</f>
        <v>-0.36899999999999999</v>
      </c>
      <c r="AC50" s="567">
        <f>IF(Ofwat_PC_Interventions!AC50&lt;&gt;"",Ofwat_PC_Interventions!AC50,IF(Company_PC_inputs!AC50&lt;&gt;"",Company_PC_inputs!AC50,""))</f>
        <v>-4.6199999999999998E-2</v>
      </c>
      <c r="AD50" s="567">
        <f>IF(Ofwat_PC_Interventions!AD50&lt;&gt;"",Ofwat_PC_Interventions!AD50,IF(Company_PC_inputs!AD50&lt;&gt;"",Company_PC_inputs!AD50,""))</f>
        <v>-0.19400000000000001</v>
      </c>
      <c r="AE50" s="567">
        <f>IF(Ofwat_PC_Interventions!AE50&lt;&gt;"",Ofwat_PC_Interventions!AE50,IF(Company_PC_inputs!AE50&lt;&gt;"",Company_PC_inputs!AE50,""))</f>
        <v>-7.3000000000000001E-3</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-2.5230000000000001</v>
      </c>
      <c r="AM50" s="567">
        <f>IF(Ofwat_PC_Interventions!AM50&lt;&gt;"",Ofwat_PC_Interventions!AM50,IF(Company_PC_inputs!AM50&lt;&gt;"",Company_PC_inputs!AM50,""))</f>
        <v>-0.36499999999999999</v>
      </c>
      <c r="AN50" s="567">
        <f>IF(Ofwat_PC_Interventions!AN50&lt;&gt;"",Ofwat_PC_Interventions!AN50,IF(Company_PC_inputs!AN50&lt;&gt;"",Company_PC_inputs!AN50,""))</f>
        <v>-0.32200000000000001</v>
      </c>
      <c r="AO50" s="568">
        <f>IF(Ofwat_PC_Interventions!AO50&lt;&gt;"",Ofwat_PC_Interventions!AO50,IF(Company_PC_inputs!AO50&lt;&gt;"",Company_PC_inputs!AO50,""))</f>
        <v>-0.59699999999999998</v>
      </c>
      <c r="AP50" s="567">
        <f>IF(Ofwat_PC_Interventions!AP50&lt;&gt;"",Ofwat_PC_Interventions!AP50,IF(Company_PC_inputs!AP50&lt;&gt;"",Company_PC_inputs!AP50,""))</f>
        <v>-1.4430000000000001E-3</v>
      </c>
      <c r="AQ50" s="567">
        <f>IF(Ofwat_PC_Interventions!AQ50&lt;&gt;"",Ofwat_PC_Interventions!AQ50,IF(Company_PC_inputs!AQ50&lt;&gt;"",Company_PC_inputs!AQ50,""))</f>
        <v>-6.2700000000000004E-3</v>
      </c>
      <c r="AR50" s="567">
        <f>IF(Ofwat_PC_Interventions!AR50&lt;&gt;"",Ofwat_PC_Interventions!AR50,IF(Company_PC_inputs!AR50&lt;&gt;"",Company_PC_inputs!AR50,""))</f>
        <v>-5.5100000000000003E-2</v>
      </c>
      <c r="AS50" s="567">
        <f>IF(Ofwat_PC_Interventions!AS50&lt;&gt;"",Ofwat_PC_Interventions!AS50,IF(Company_PC_inputs!AS50&lt;&gt;"",Company_PC_inputs!AS50,""))</f>
        <v>-0.249</v>
      </c>
      <c r="AT50" s="567">
        <f>IF(Ofwat_PC_Interventions!AT50&lt;&gt;"",Ofwat_PC_Interventions!AT50,IF(Company_PC_inputs!AT50&lt;&gt;"",Company_PC_inputs!AT50,""))</f>
        <v>-0.127</v>
      </c>
      <c r="AU50" s="567">
        <f>IF(Ofwat_PC_Interventions!AU50&lt;&gt;"",Ofwat_PC_Interventions!AU50,IF(Company_PC_inputs!AU50&lt;&gt;"",Company_PC_inputs!AU50,""))</f>
        <v>-1.83E-2</v>
      </c>
      <c r="AV50" s="567">
        <f>IF(Ofwat_PC_Interventions!AV50&lt;&gt;"",Ofwat_PC_Interventions!AV50,IF(Company_PC_inputs!AV50&lt;&gt;"",Company_PC_inputs!AV50,""))</f>
        <v>-2.7400000000000001E-2</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955</v>
      </c>
      <c r="F57" s="444"/>
      <c r="G57" s="444" t="s">
        <v>1073</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2.9660000000000002</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f>IF(Ofwat_PC_Interventions!AM59&lt;&gt;"",Ofwat_PC_Interventions!AM59,IF(Company_PC_inputs!AM59&lt;&gt;"",Company_PC_inputs!AM59,""))</f>
        <v>0.874</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-2.9660000000000002</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f>IF(Ofwat_PC_Interventions!AM60&lt;&gt;"",Ofwat_PC_Interventions!AM60,IF(Company_PC_inputs!AM60&lt;&gt;"",Company_PC_inputs!AM60,""))</f>
        <v>-0.877</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1</v>
      </c>
      <c r="Z68" s="569">
        <f>IF(Ofwat_PC_Interventions!Z68&lt;&gt;"",Ofwat_PC_Interventions!Z68,IF(Company_PC_inputs!Z68&lt;&gt;"",Company_PC_inputs!Z68,""))</f>
        <v>0.122</v>
      </c>
      <c r="AA68" s="569">
        <f>IF(Ofwat_PC_Interventions!AA68&lt;&gt;"",Ofwat_PC_Interventions!AA68,IF(Company_PC_inputs!AA68&lt;&gt;"",Company_PC_inputs!AA68,""))</f>
        <v>0.11</v>
      </c>
      <c r="AB68" s="569">
        <f>IF(Ofwat_PC_Interventions!AB68&lt;&gt;"",Ofwat_PC_Interventions!AB68,IF(Company_PC_inputs!AB68&lt;&gt;"",Company_PC_inputs!AB68,""))</f>
        <v>0</v>
      </c>
      <c r="AC68" s="569">
        <f>IF(Ofwat_PC_Interventions!AC68&lt;&gt;"",Ofwat_PC_Interventions!AC68,IF(Company_PC_inputs!AC68&lt;&gt;"",Company_PC_inputs!AC68,""))</f>
        <v>0</v>
      </c>
      <c r="AD68" s="569">
        <f>IF(Ofwat_PC_Interventions!AD68&lt;&gt;"",Ofwat_PC_Interventions!AD68,IF(Company_PC_inputs!AD68&lt;&gt;"",Company_PC_inputs!AD68,""))</f>
        <v>0</v>
      </c>
      <c r="AE68" s="569">
        <f>IF(Ofwat_PC_Interventions!AE68&lt;&gt;"",Ofwat_PC_Interventions!AE68,IF(Company_PC_inputs!AE68&lt;&gt;"",Company_PC_inputs!AE68,""))</f>
        <v>0</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0.14499999999999999</v>
      </c>
      <c r="AV68" s="569">
        <f>IF(Ofwat_PC_Interventions!AV68&lt;&gt;"",Ofwat_PC_Interventions!AV68,IF(Company_PC_inputs!AV68&lt;&gt;"",Company_PC_inputs!AV68,""))</f>
        <v>0</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0</v>
      </c>
      <c r="Z69" s="569">
        <f>IF(Ofwat_PC_Interventions!Z69&lt;&gt;"",Ofwat_PC_Interventions!Z69,IF(Company_PC_inputs!Z69&lt;&gt;"",Company_PC_inputs!Z69,""))</f>
        <v>0.501</v>
      </c>
      <c r="AA69" s="569">
        <f>IF(Ofwat_PC_Interventions!AA69&lt;&gt;"",Ofwat_PC_Interventions!AA69,IF(Company_PC_inputs!AA69&lt;&gt;"",Company_PC_inputs!AA69,""))</f>
        <v>0.44900000000000001</v>
      </c>
      <c r="AB69" s="569">
        <f>IF(Ofwat_PC_Interventions!AB69&lt;&gt;"",Ofwat_PC_Interventions!AB69,IF(Company_PC_inputs!AB69&lt;&gt;"",Company_PC_inputs!AB69,""))</f>
        <v>1</v>
      </c>
      <c r="AC69" s="569">
        <f>IF(Ofwat_PC_Interventions!AC69&lt;&gt;"",Ofwat_PC_Interventions!AC69,IF(Company_PC_inputs!AC69&lt;&gt;"",Company_PC_inputs!AC69,""))</f>
        <v>1</v>
      </c>
      <c r="AD69" s="569">
        <f>IF(Ofwat_PC_Interventions!AD69&lt;&gt;"",Ofwat_PC_Interventions!AD69,IF(Company_PC_inputs!AD69&lt;&gt;"",Company_PC_inputs!AD69,""))</f>
        <v>1</v>
      </c>
      <c r="AE69" s="569">
        <f>IF(Ofwat_PC_Interventions!AE69&lt;&gt;"",Ofwat_PC_Interventions!AE69,IF(Company_PC_inputs!AE69&lt;&gt;"",Company_PC_inputs!AE69,""))</f>
        <v>0.70399999999999996</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0.16</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0.377</v>
      </c>
      <c r="AA70" s="569">
        <f>IF(Ofwat_PC_Interventions!AA70&lt;&gt;"",Ofwat_PC_Interventions!AA70,IF(Company_PC_inputs!AA70&lt;&gt;"",Company_PC_inputs!AA70,""))</f>
        <v>0.33800000000000002</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f>IF(Ofwat_PC_Interventions!AE70&lt;&gt;"",Ofwat_PC_Interventions!AE70,IF(Company_PC_inputs!AE70&lt;&gt;"",Company_PC_inputs!AE70,""))</f>
        <v>0.29599999999999999</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0.84</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1</v>
      </c>
      <c r="AT70" s="569">
        <f>IF(Ofwat_PC_Interventions!AT70&lt;&gt;"",Ofwat_PC_Interventions!AT70,IF(Company_PC_inputs!AT70&lt;&gt;"",Company_PC_inputs!AT70,""))</f>
        <v>1</v>
      </c>
      <c r="AU70" s="569">
        <f>IF(Ofwat_PC_Interventions!AU70&lt;&gt;"",Ofwat_PC_Interventions!AU70,IF(Company_PC_inputs!AU70&lt;&gt;"",Company_PC_inputs!AU70,""))</f>
        <v>0.85499999999999998</v>
      </c>
      <c r="AV70" s="569">
        <f>IF(Ofwat_PC_Interventions!AV70&lt;&gt;"",Ofwat_PC_Interventions!AV70,IF(Company_PC_inputs!AV70&lt;&gt;"",Company_PC_inputs!AV70,""))</f>
        <v>1</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2.9000000000000001E-2</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f>IF(Ofwat_PC_Interventions!AE71&lt;&gt;"",Ofwat_PC_Interventions!AE71,IF(Company_PC_inputs!AE71&lt;&gt;"",Company_PC_inputs!AE71,""))</f>
        <v>0</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0</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7.3999999999999996E-2</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f>IF(Ofwat_PC_Interventions!AE72&lt;&gt;"",Ofwat_PC_Interventions!AE72,IF(Company_PC_inputs!AE72&lt;&gt;"",Company_PC_inputs!AE72,""))</f>
        <v>0</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f>IF(Ofwat_PC_Interventions!AE73&lt;&gt;"",Ofwat_PC_Interventions!AE73,IF(Company_PC_inputs!AE73&lt;&gt;"",Company_PC_inputs!AE73,""))</f>
        <v>0</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f>IF(Ofwat_PC_Interventions!AE74&lt;&gt;"",Ofwat_PC_Interventions!AE74,IF(Company_PC_inputs!AE74&lt;&gt;"",Company_PC_inputs!AE74,""))</f>
        <v>0</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Northumbrian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PR19NES_COM03</v>
      </c>
      <c r="K5" s="576" t="str">
        <f>IF(InpPerformance!K16&lt;&gt;"",InpPerformance!K16,"")</f>
        <v>PR19NES_COM04</v>
      </c>
      <c r="L5" s="576" t="str">
        <f>IF(InpPerformance!L16&lt;&gt;"",InpPerformance!L16,"")</f>
        <v>PR19NES_COM05</v>
      </c>
      <c r="M5" s="576" t="str">
        <f>IF(InpPerformance!M16&lt;&gt;"",InpPerformance!M16,"")</f>
        <v>PR19NES_COM06</v>
      </c>
      <c r="N5" s="576" t="str">
        <f>IF(InpPerformance!N16&lt;&gt;"",InpPerformance!N16,"")</f>
        <v>PR19NES_COM07</v>
      </c>
      <c r="O5" s="576" t="str">
        <f>IF(InpPerformance!O16&lt;&gt;"",InpPerformance!O16,"")</f>
        <v/>
      </c>
      <c r="P5" s="576" t="str">
        <f>IF(InpPerformance!P16&lt;&gt;"",InpPerformance!P16,"")</f>
        <v>PR19NES_COM12</v>
      </c>
      <c r="Q5" s="577" t="str">
        <f>IF(InpPerformance!Q16&lt;&gt;"",InpPerformance!Q16,"")</f>
        <v>PR19NES_COM13</v>
      </c>
      <c r="R5" s="576" t="str">
        <f>IF(InpPerformance!R16&lt;&gt;"",InpPerformance!R16,"")</f>
        <v>PR19NES_BES04</v>
      </c>
      <c r="S5" s="576" t="str">
        <f>IF(InpPerformance!S16&lt;&gt;"",InpPerformance!S16,"")</f>
        <v>PR19NES_BES08</v>
      </c>
      <c r="T5" s="576" t="str">
        <f>IF(InpPerformance!T16&lt;&gt;"",InpPerformance!T16,"")</f>
        <v>PR19NES_BES09</v>
      </c>
      <c r="U5" s="576" t="str">
        <f>IF(InpPerformance!U16&lt;&gt;"",InpPerformance!U16,"")</f>
        <v>PR19NES_BES11</v>
      </c>
      <c r="V5" s="576"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PR19NES_COM08</v>
      </c>
      <c r="AM5" s="576" t="str">
        <f>IF(InpPerformance!AM16&lt;&gt;"",InpPerformance!AM16,"")</f>
        <v>PR19NES_COM09</v>
      </c>
      <c r="AN5" s="576" t="str">
        <f>IF(InpPerformance!AN16&lt;&gt;"",InpPerformance!AN16,"")</f>
        <v>PR19NES_COM14</v>
      </c>
      <c r="AO5" s="577" t="str">
        <f>IF(InpPerformance!AO16&lt;&gt;"",InpPerformance!AO16,"")</f>
        <v>PR19NES_COM15</v>
      </c>
      <c r="AP5" s="576" t="str">
        <f>IF(InpPerformance!AP16&lt;&gt;"",InpPerformance!AP16,"")</f>
        <v>PR19NES_BES15</v>
      </c>
      <c r="AQ5" s="576" t="str">
        <f>IF(InpPerformance!AQ16&lt;&gt;"",InpPerformance!AQ16,"")</f>
        <v>PR19NES_BES16</v>
      </c>
      <c r="AR5" s="576" t="str">
        <f>IF(InpPerformance!AR16&lt;&gt;"",InpPerformance!AR16,"")</f>
        <v>PR19NES_BES17</v>
      </c>
      <c r="AS5" s="576" t="str">
        <f>IF(InpPerformance!AS16&lt;&gt;"",InpPerformance!AS16,"")</f>
        <v>PR19NES_BES19</v>
      </c>
      <c r="AT5" s="576" t="str">
        <f>IF(InpPerformance!AT16&lt;&gt;"",InpPerformance!AT16,"")</f>
        <v>PR19NES_BES27</v>
      </c>
      <c r="AU5" s="576" t="str">
        <f>IF(InpPerformance!AU16&lt;&gt;"",InpPerformance!AU16,"")</f>
        <v>PR19NES_BES31</v>
      </c>
      <c r="AV5" s="576" t="str">
        <f>IF(InpPerformance!AV16&lt;&gt;"",InpPerformance!AV16,"")</f>
        <v>PR19NES_BES29</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NW region</v>
      </c>
      <c r="M6" s="576" t="str">
        <f>IF(InpPerformance!M17&lt;&gt;"",InpPerformance!M17,"")</f>
        <v>Leakage ESW region</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Visible leak repair time</v>
      </c>
      <c r="S6" s="576" t="str">
        <f>IF(InpPerformance!S17&lt;&gt;"",InpPerformance!S17,"")</f>
        <v xml:space="preserve">Voids </v>
      </c>
      <c r="T6" s="576" t="str">
        <f>IF(InpPerformance!T17&lt;&gt;"",InpPerformance!T17,"")</f>
        <v>Interruptions to supply greater than 12 hours</v>
      </c>
      <c r="U6" s="576" t="str">
        <f>IF(InpPerformance!U17&lt;&gt;"",InpPerformance!U17,"")</f>
        <v>Discoloured water contacts</v>
      </c>
      <c r="V6" s="576" t="str">
        <f>IF(InpPerformance!V17&lt;&gt;"",InpPerformance!V17,"")</f>
        <v>Taste and smell contacts</v>
      </c>
      <c r="W6" s="576" t="str">
        <f>IF(InpPerformance!W17&lt;&gt;"",InpPerformance!W17,"")</f>
        <v xml:space="preserve">Event Risk Index  </v>
      </c>
      <c r="X6" s="576" t="str">
        <f>IF(InpPerformance!X17&lt;&gt;"",InpPerformance!X17,"")</f>
        <v xml:space="preserve">Interruptions to supply between one and three hours </v>
      </c>
      <c r="Y6" s="576" t="str">
        <f>IF(InpPerformance!Y17&lt;&gt;"",InpPerformance!Y17,"")</f>
        <v>Abstraction incentive mechanism (AIM)</v>
      </c>
      <c r="Z6" s="576" t="str">
        <f>IF(InpPerformance!Z17&lt;&gt;"",InpPerformance!Z17,"")</f>
        <v>Water environment improvements</v>
      </c>
      <c r="AA6" s="576" t="str">
        <f>IF(InpPerformance!AA17&lt;&gt;"",InpPerformance!AA17,"")</f>
        <v>Greenhouse Gas Emissions</v>
      </c>
      <c r="AB6" s="576" t="str">
        <f>IF(InpPerformance!AB17&lt;&gt;"",InpPerformance!AB17,"")</f>
        <v>Delivery of water resilience enhanced programme</v>
      </c>
      <c r="AC6" s="576" t="str">
        <f>IF(InpPerformance!AC17&lt;&gt;"",InpPerformance!AC17,"")</f>
        <v>Delivery of lead enhancement programme</v>
      </c>
      <c r="AD6" s="576" t="str">
        <f>IF(InpPerformance!AD17&lt;&gt;"",InpPerformance!AD17,"")</f>
        <v>Delivery of smart water metering enhancement programme</v>
      </c>
      <c r="AE6" s="576" t="str">
        <f>IF(InpPerformance!AE17&lt;&gt;"",InpPerformance!AE17,"")</f>
        <v>Delivery of cyber resilience enhancement programme</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Sewer blockages</v>
      </c>
      <c r="AQ6" s="576" t="str">
        <f>IF(InpPerformance!AQ17&lt;&gt;"",InpPerformance!AQ17,"")</f>
        <v>External sewer flooding</v>
      </c>
      <c r="AR6" s="576" t="str">
        <f>IF(InpPerformance!AR17&lt;&gt;"",InpPerformance!AR17,"")</f>
        <v xml:space="preserve">Repeat sewer flooding </v>
      </c>
      <c r="AS6" s="576" t="str">
        <f>IF(InpPerformance!AS17&lt;&gt;"",InpPerformance!AS17,"")</f>
        <v xml:space="preserve">Bathing water compliance </v>
      </c>
      <c r="AT6" s="576" t="str">
        <f>IF(InpPerformance!AT17&lt;&gt;"",InpPerformance!AT17,"")</f>
        <v>Delivery wastewater resilience enhancement programme</v>
      </c>
      <c r="AU6" s="576" t="str">
        <f>IF(InpPerformance!AU17&lt;&gt;"",InpPerformance!AU17,"")</f>
        <v>Water Industry National Environment Programme</v>
      </c>
      <c r="AV6" s="576" t="str">
        <f>IF(InpPerformance!AV17&lt;&gt;"",InpPerformance!AV17,"")</f>
        <v>Delivery of Howdon STW enhancement</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2.91</v>
      </c>
      <c r="K7" s="580">
        <f>IF(InpPerformance!K7&lt;&gt;"",InpPerformance!K7,"")</f>
        <v>4.5486111111111109E-3</v>
      </c>
      <c r="L7" s="579">
        <f>IF(InpPerformance!L7&lt;&gt;"",InpPerformance!L7,"")</f>
        <v>9.0504451038575731</v>
      </c>
      <c r="M7" s="579">
        <f>IF(InpPerformance!M7&lt;&gt;"",InpPerformance!M7,"")</f>
        <v>12.576687116564422</v>
      </c>
      <c r="N7" s="579">
        <f>IF(InpPerformance!N7&lt;&gt;"",InpPerformance!N7,"")</f>
        <v>-2.4568393094289709</v>
      </c>
      <c r="O7" s="579" t="str">
        <f>IF(InpPerformance!O7&lt;&gt;"",InpPerformance!O7,"")</f>
        <v/>
      </c>
      <c r="P7" s="579">
        <f>IF(InpPerformance!P7&lt;&gt;"",InpPerformance!P7,"")</f>
        <v>127.9</v>
      </c>
      <c r="Q7" s="581">
        <f>IF(InpPerformance!Q7&lt;&gt;"",InpPerformance!Q7,"")</f>
        <v>3</v>
      </c>
      <c r="R7" s="579">
        <f>IF(InpPerformance!R7&lt;&gt;"",InpPerformance!R7,"")</f>
        <v>7.2</v>
      </c>
      <c r="S7" s="579">
        <f>IF(InpPerformance!S7&lt;&gt;"",InpPerformance!S7,"")</f>
        <v>3.5</v>
      </c>
      <c r="T7" s="579">
        <f>IF(InpPerformance!T7&lt;&gt;"",InpPerformance!T7,"")</f>
        <v>150</v>
      </c>
      <c r="U7" s="579">
        <f>IF(InpPerformance!U7&lt;&gt;"",InpPerformance!U7,"")</f>
        <v>7.42</v>
      </c>
      <c r="V7" s="579">
        <f>IF(InpPerformance!V7&lt;&gt;"",InpPerformance!V7,"")</f>
        <v>1.74</v>
      </c>
      <c r="W7" s="579">
        <f>IF(InpPerformance!W7&lt;&gt;"",InpPerformance!W7,"")</f>
        <v>14.071</v>
      </c>
      <c r="X7" s="579">
        <f>IF(InpPerformance!X7&lt;&gt;"",InpPerformance!X7,"")</f>
        <v>96.6</v>
      </c>
      <c r="Y7" s="579">
        <f>IF(InpPerformance!Y7&lt;&gt;"",InpPerformance!Y7,"")</f>
        <v>0</v>
      </c>
      <c r="Z7" s="579">
        <f>IF(InpPerformance!Z7&lt;&gt;"",InpPerformance!Z7,"")</f>
        <v>58</v>
      </c>
      <c r="AA7" s="579">
        <f>IF(InpPerformance!AA7&lt;&gt;"",InpPerformance!AA7,"")</f>
        <v>15627</v>
      </c>
      <c r="AB7" s="579">
        <f>IF(InpPerformance!AB7&lt;&gt;"",InpPerformance!AB7,"")</f>
        <v>59.3</v>
      </c>
      <c r="AC7" s="579">
        <f>IF(InpPerformance!AC7&lt;&gt;"",InpPerformance!AC7,"")</f>
        <v>59.9</v>
      </c>
      <c r="AD7" s="579">
        <f>IF(InpPerformance!AD7&lt;&gt;"",InpPerformance!AD7,"")</f>
        <v>47.4</v>
      </c>
      <c r="AE7" s="579">
        <f>IF(InpPerformance!AE7&lt;&gt;"",InpPerformance!AE7,"")</f>
        <v>73.400000000000006</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1.23</v>
      </c>
      <c r="AM7" s="579">
        <f>IF(InpPerformance!AM7&lt;&gt;"",InpPerformance!AM7,"")</f>
        <v>22.31</v>
      </c>
      <c r="AN7" s="579">
        <f>IF(InpPerformance!AN7&lt;&gt;"",InpPerformance!AN7,"")</f>
        <v>8.7899999999999991</v>
      </c>
      <c r="AO7" s="581">
        <f>IF(InpPerformance!AO7&lt;&gt;"",InpPerformance!AO7,"")</f>
        <v>98.52</v>
      </c>
      <c r="AP7" s="579">
        <f>IF(InpPerformance!AP7&lt;&gt;"",InpPerformance!AP7,"")</f>
        <v>10500</v>
      </c>
      <c r="AQ7" s="579">
        <f>IF(InpPerformance!AQ7&lt;&gt;"",InpPerformance!AQ7,"")</f>
        <v>2824</v>
      </c>
      <c r="AR7" s="579">
        <f>IF(InpPerformance!AR7&lt;&gt;"",InpPerformance!AR7,"")</f>
        <v>27</v>
      </c>
      <c r="AS7" s="579">
        <f>IF(InpPerformance!AS7&lt;&gt;"",InpPerformance!AS7,"")</f>
        <v>94.1</v>
      </c>
      <c r="AT7" s="579">
        <f>IF(InpPerformance!AT7&lt;&gt;"",InpPerformance!AT7,"")</f>
        <v>132</v>
      </c>
      <c r="AU7" s="579">
        <f>IF(InpPerformance!AU7&lt;&gt;"",InpPerformance!AU7,"")</f>
        <v>535</v>
      </c>
      <c r="AV7" s="579">
        <f>IF(InpPerformance!AV7&lt;&gt;"",InpPerformance!AV7,"")</f>
        <v>0</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 xml:space="preserve">% </v>
      </c>
      <c r="Y9" s="582" t="str">
        <f>IF(InpPerformance!Y31&lt;&gt;"",InpPerformance!Y31,"")</f>
        <v>nr</v>
      </c>
      <c r="Z9" s="582" t="str">
        <f>IF(InpPerformance!Z31&lt;&gt;"",InpPerformance!Z31,"")</f>
        <v>nr</v>
      </c>
      <c r="AA9" s="582" t="str">
        <f>IF(InpPerformance!AA31&lt;&gt;"",InpPerformance!AA31,"")</f>
        <v>tCO2e</v>
      </c>
      <c r="AB9" s="582" t="str">
        <f>IF(InpPerformance!AB31&lt;&gt;"",InpPerformance!AB31,"")</f>
        <v>%</v>
      </c>
      <c r="AC9" s="582" t="str">
        <f>IF(InpPerformance!AC31&lt;&gt;"",InpPerformance!AC31,"")</f>
        <v>%</v>
      </c>
      <c r="AD9" s="582" t="str">
        <f>IF(InpPerformance!AD31&lt;&gt;"",InpPerformance!AD31,"")</f>
        <v>%</v>
      </c>
      <c r="AE9" s="582" t="str">
        <f>IF(InpPerformance!AE31&lt;&gt;"",InpPerformance!AE31,"")</f>
        <v>%</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v>
      </c>
      <c r="AT9" s="582" t="str">
        <f>IF(InpPerformance!AT31&lt;&gt;"",InpPerformance!AT31,"")</f>
        <v>nr</v>
      </c>
      <c r="AU9" s="582" t="str">
        <f>IF(InpPerformance!AU31&lt;&gt;"",InpPerformance!AU31,"")</f>
        <v>nr</v>
      </c>
      <c r="AV9" s="582" t="str">
        <f>IF(InpPerformance!AV31&lt;&gt;"",InpPerformance!AV31,"")</f>
        <v>months</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Down</v>
      </c>
      <c r="X10" s="582" t="str">
        <f>IF(InpPerformance!X38&lt;&gt;"",InpPerformance!X38,"")</f>
        <v>Down</v>
      </c>
      <c r="Y10" s="582" t="str">
        <f>IF(InpPerformance!Y38&lt;&gt;"",InpPerformance!Y38,"")</f>
        <v>Down</v>
      </c>
      <c r="Z10" s="582" t="str">
        <f>IF(InpPerformance!Z38&lt;&gt;"",InpPerformance!Z38,"")</f>
        <v>Up</v>
      </c>
      <c r="AA10" s="582" t="str">
        <f>IF(InpPerformance!AA38&lt;&gt;"",InpPerformance!AA38,"")</f>
        <v>Up</v>
      </c>
      <c r="AB10" s="582" t="str">
        <f>IF(InpPerformance!AB38&lt;&gt;"",InpPerformance!AB38,"")</f>
        <v>Up</v>
      </c>
      <c r="AC10" s="582" t="str">
        <f>IF(InpPerformance!AC38&lt;&gt;"",InpPerformance!AC38,"")</f>
        <v>Up</v>
      </c>
      <c r="AD10" s="582" t="str">
        <f>IF(InpPerformance!AD38&lt;&gt;"",InpPerformance!AD38,"")</f>
        <v>Up</v>
      </c>
      <c r="AE10" s="582" t="str">
        <f>IF(InpPerformance!AE38&lt;&gt;"",InpPerformance!AE38,"")</f>
        <v>Up</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Up</v>
      </c>
      <c r="AT10" s="582" t="str">
        <f>IF(InpPerformance!AT38&lt;&gt;"",InpPerformance!AT38,"")</f>
        <v>Up</v>
      </c>
      <c r="AU10" s="582" t="str">
        <f>IF(InpPerformance!AU38&lt;&gt;"",InpPerformance!AU38,"")</f>
        <v>Up</v>
      </c>
      <c r="AV10" s="582" t="str">
        <f>IF(InpPerformance!AV38&lt;&gt;"",InpPerformance!AV38,"")</f>
        <v>Down</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2</v>
      </c>
      <c r="T11" s="582">
        <f>IF(InpPerformance!T40&lt;&gt;"",InpPerformance!T40,"")</f>
        <v>0</v>
      </c>
      <c r="U11" s="582">
        <f>IF(InpPerformance!U40&lt;&gt;"",InpPerformance!U40,"")</f>
        <v>2</v>
      </c>
      <c r="V11" s="582">
        <f>IF(InpPerformance!V40&lt;&gt;"",InpPerformance!V40,"")</f>
        <v>2</v>
      </c>
      <c r="W11" s="582">
        <f>IF(InpPerformance!W40&lt;&gt;"",InpPerformance!W40,"")</f>
        <v>3</v>
      </c>
      <c r="X11" s="582">
        <f>IF(InpPerformance!X40&lt;&gt;"",InpPerformance!X40,"")</f>
        <v>1</v>
      </c>
      <c r="Y11" s="582">
        <f>IF(InpPerformance!Y40&lt;&gt;"",InpPerformance!Y40,"")</f>
        <v>0</v>
      </c>
      <c r="Z11" s="582">
        <f>IF(InpPerformance!Z40&lt;&gt;"",InpPerformance!Z40,"")</f>
        <v>1</v>
      </c>
      <c r="AA11" s="582">
        <f>IF(InpPerformance!AA40&lt;&gt;"",InpPerformance!AA40,"")</f>
        <v>0</v>
      </c>
      <c r="AB11" s="582">
        <f>IF(InpPerformance!AB40&lt;&gt;"",InpPerformance!AB40,"")</f>
        <v>1</v>
      </c>
      <c r="AC11" s="582">
        <f>IF(InpPerformance!AC40&lt;&gt;"",InpPerformance!AC40,"")</f>
        <v>1</v>
      </c>
      <c r="AD11" s="582">
        <f>IF(InpPerformance!AD40&lt;&gt;"",InpPerformance!AD40,"")</f>
        <v>1</v>
      </c>
      <c r="AE11" s="582">
        <f>IF(InpPerformance!AE40&lt;&gt;"",InpPerformance!AE40,"")</f>
        <v>1</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2</v>
      </c>
      <c r="AT11" s="582">
        <f>IF(InpPerformance!AT40&lt;&gt;"",InpPerformance!AT40,"")</f>
        <v>0</v>
      </c>
      <c r="AU11" s="582">
        <f>IF(InpPerformance!AU40&lt;&gt;"",InpPerformance!AU40,"")</f>
        <v>0</v>
      </c>
      <c r="AV11" s="582">
        <f>IF(InpPerformance!AV40&lt;&gt;"",InpPerformance!AV40,"")</f>
        <v>0</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1226</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1227</v>
      </c>
      <c r="F17" s="444"/>
      <c r="G17" s="444" t="str">
        <f>G7</f>
        <v>Performance commitment unit</v>
      </c>
      <c r="H17" s="444"/>
      <c r="I17" s="444"/>
      <c r="J17" s="584">
        <f>IF(AND(ISNUMBER(J7),J15=FALSE,J16=FALSE),ROUND(J7,J11),J7)</f>
        <v>2.91</v>
      </c>
      <c r="K17" s="483">
        <f t="shared" ref="K17:BC17" si="2">IF(AND(ISNUMBER(K7),K15=FALSE,K16=FALSE),ROUND(K7,K11),K7)</f>
        <v>4.5486111111111109E-3</v>
      </c>
      <c r="L17" s="483">
        <f t="shared" si="2"/>
        <v>9.0504451038575731</v>
      </c>
      <c r="M17" s="483">
        <f t="shared" si="2"/>
        <v>12.576687116564422</v>
      </c>
      <c r="N17" s="483">
        <f t="shared" si="2"/>
        <v>-2.4568393094289709</v>
      </c>
      <c r="O17" s="483" t="str">
        <f t="shared" si="2"/>
        <v/>
      </c>
      <c r="P17" s="483">
        <f t="shared" si="2"/>
        <v>127.9</v>
      </c>
      <c r="Q17" s="484">
        <f t="shared" si="2"/>
        <v>3</v>
      </c>
      <c r="R17" s="483">
        <f t="shared" si="2"/>
        <v>7.2</v>
      </c>
      <c r="S17" s="483">
        <f t="shared" si="2"/>
        <v>3.5</v>
      </c>
      <c r="T17" s="483">
        <f t="shared" si="2"/>
        <v>150</v>
      </c>
      <c r="U17" s="483">
        <f t="shared" si="2"/>
        <v>7.42</v>
      </c>
      <c r="V17" s="483">
        <f t="shared" si="2"/>
        <v>1.74</v>
      </c>
      <c r="W17" s="483">
        <f t="shared" si="2"/>
        <v>14.071</v>
      </c>
      <c r="X17" s="584">
        <f t="shared" si="2"/>
        <v>96.6</v>
      </c>
      <c r="Y17" s="483">
        <f t="shared" si="2"/>
        <v>0</v>
      </c>
      <c r="Z17" s="483">
        <f t="shared" si="2"/>
        <v>58</v>
      </c>
      <c r="AA17" s="483">
        <f t="shared" si="2"/>
        <v>15627</v>
      </c>
      <c r="AB17" s="483">
        <f t="shared" si="2"/>
        <v>59.3</v>
      </c>
      <c r="AC17" s="483">
        <f t="shared" si="2"/>
        <v>59.9</v>
      </c>
      <c r="AD17" s="483">
        <f t="shared" si="2"/>
        <v>47.4</v>
      </c>
      <c r="AE17" s="483">
        <f t="shared" si="2"/>
        <v>73.400000000000006</v>
      </c>
      <c r="AF17" s="483" t="str">
        <f t="shared" si="2"/>
        <v/>
      </c>
      <c r="AG17" s="483" t="str">
        <f t="shared" si="2"/>
        <v/>
      </c>
      <c r="AH17" s="483" t="str">
        <f t="shared" si="2"/>
        <v/>
      </c>
      <c r="AI17" s="483" t="str">
        <f t="shared" si="2"/>
        <v/>
      </c>
      <c r="AJ17" s="483" t="str">
        <f t="shared" si="2"/>
        <v/>
      </c>
      <c r="AK17" s="484" t="str">
        <f t="shared" si="2"/>
        <v/>
      </c>
      <c r="AL17" s="483">
        <f t="shared" si="2"/>
        <v>1.23</v>
      </c>
      <c r="AM17" s="483">
        <f t="shared" si="2"/>
        <v>22.31</v>
      </c>
      <c r="AN17" s="483">
        <f t="shared" si="2"/>
        <v>8.7899999999999991</v>
      </c>
      <c r="AO17" s="484">
        <f t="shared" si="2"/>
        <v>98.52</v>
      </c>
      <c r="AP17" s="483">
        <f t="shared" si="2"/>
        <v>10500</v>
      </c>
      <c r="AQ17" s="483">
        <f t="shared" si="2"/>
        <v>2824</v>
      </c>
      <c r="AR17" s="483">
        <f t="shared" si="2"/>
        <v>27</v>
      </c>
      <c r="AS17" s="483">
        <f t="shared" si="2"/>
        <v>94.1</v>
      </c>
      <c r="AT17" s="483">
        <f t="shared" si="2"/>
        <v>132</v>
      </c>
      <c r="AU17" s="483">
        <f t="shared" si="2"/>
        <v>535</v>
      </c>
      <c r="AV17" s="483">
        <f t="shared" si="2"/>
        <v>0</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1.4351851851851854E-3</v>
      </c>
      <c r="L20" s="579" t="str">
        <f>IF(InpPerformance!L$43&lt;&gt;"",InpPerformance!L$43,"")</f>
        <v>*</v>
      </c>
      <c r="M20" s="579" t="str">
        <f>IF(InpPerformance!M$43&lt;&gt;"",InpPerformance!M$43,"")</f>
        <v>*</v>
      </c>
      <c r="N20" s="579" t="str">
        <f>IF(InpPerformance!N$43&lt;&gt;"",InpPerformance!N$43,"")</f>
        <v/>
      </c>
      <c r="O20" s="579" t="str">
        <f>IF(InpPerformance!O$43&lt;&gt;"",InpPerformance!O$43,"")</f>
        <v/>
      </c>
      <c r="P20" s="579">
        <f>IF(InpPerformance!P$43&lt;&gt;"",InpPerformance!P$43,"")</f>
        <v>114.3</v>
      </c>
      <c r="Q20" s="581" t="str">
        <f>IF(InpPerformance!Q$43&lt;&gt;"",InpPerformance!Q$43,"")</f>
        <v/>
      </c>
      <c r="R20" s="579" t="str">
        <f>IF(InpPerformance!R$43&lt;&gt;"",InpPerformance!R$43,"")</f>
        <v/>
      </c>
      <c r="S20" s="579">
        <f>IF(InpPerformance!S$43&lt;&gt;"",InpPerformance!S$43,"")</f>
        <v>3.75</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1.17</v>
      </c>
      <c r="AM20" s="579">
        <f>IF(InpPerformance!AM$43&lt;&gt;"",InpPerformance!AM$43,"")</f>
        <v>10.82</v>
      </c>
      <c r="AN20" s="579" t="str">
        <f>IF(InpPerformance!AN$43&lt;&gt;"",InpPerformance!AN$43,"")</f>
        <v/>
      </c>
      <c r="AO20" s="581" t="str">
        <f>IF(InpPerformance!AO$43&lt;&gt;"",InpPerformance!AO$43,"")</f>
        <v/>
      </c>
      <c r="AP20" s="579" t="str">
        <f>IF(InpPerformance!AP$43&lt;&gt;"",InpPerformance!AP$43,"")</f>
        <v/>
      </c>
      <c r="AQ20" s="579">
        <f>IF(InpPerformance!AQ$43&lt;&gt;"",InpPerformance!AQ$43,"")</f>
        <v>2487</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9</v>
      </c>
      <c r="M22" s="579">
        <f>IF(InpPerformance!M$45&lt;&gt;"",InpPerformance!M$45,"")</f>
        <v>10.5</v>
      </c>
      <c r="N22" s="579">
        <f>IF(InpPerformance!N$45&lt;&gt;"",InpPerformance!N$45,"")</f>
        <v>4.0999999999999996</v>
      </c>
      <c r="O22" s="579" t="str">
        <f>IF(InpPerformance!O$45&lt;&gt;"",InpPerformance!O$45,"")</f>
        <v/>
      </c>
      <c r="P22" s="579">
        <f>IF(InpPerformance!P$45&lt;&gt;"",InpPerformance!P$45,"")</f>
        <v>127.9</v>
      </c>
      <c r="Q22" s="581">
        <f>IF(InpPerformance!Q$45&lt;&gt;"",InpPerformance!Q$45,"")</f>
        <v>3.35</v>
      </c>
      <c r="R22" s="579">
        <f>IF(InpPerformance!R$45&lt;&gt;"",InpPerformance!R$45,"")</f>
        <v>4</v>
      </c>
      <c r="S22" s="579">
        <f>IF(InpPerformance!S$45&lt;&gt;"",InpPerformance!S$45,"")</f>
        <v>4.25</v>
      </c>
      <c r="T22" s="579">
        <f>IF(InpPerformance!T$45&lt;&gt;"",InpPerformance!T$45,"")</f>
        <v>425</v>
      </c>
      <c r="U22" s="579">
        <f>IF(InpPerformance!U$45&lt;&gt;"",InpPerformance!U$45,"")</f>
        <v>8.2100000000000009</v>
      </c>
      <c r="V22" s="579">
        <f>IF(InpPerformance!V$45&lt;&gt;"",InpPerformance!V$45,"")</f>
        <v>2.04</v>
      </c>
      <c r="W22" s="579">
        <f>IF(InpPerformance!W$45&lt;&gt;"",InpPerformance!W$45,"")</f>
        <v>81.87</v>
      </c>
      <c r="X22" s="579">
        <f>IF(InpPerformance!X$45&lt;&gt;"",InpPerformance!X$45,"")</f>
        <v>92.5</v>
      </c>
      <c r="Y22" s="579">
        <f>IF(InpPerformance!Y$45&lt;&gt;"",InpPerformance!Y$45,"")</f>
        <v>0</v>
      </c>
      <c r="Z22" s="579">
        <f>IF(InpPerformance!Z$45&lt;&gt;"",InpPerformance!Z$45,"")</f>
        <v>10</v>
      </c>
      <c r="AA22" s="579">
        <f>IF(InpPerformance!AA$45&lt;&gt;"",InpPerformance!AA$45,"")</f>
        <v>7941</v>
      </c>
      <c r="AB22" s="579">
        <f>IF(InpPerformance!AB$45&lt;&gt;"",InpPerformance!AB$45,"")</f>
        <v>0</v>
      </c>
      <c r="AC22" s="579">
        <f>IF(InpPerformance!AC$45&lt;&gt;"",InpPerformance!AC$45,"")</f>
        <v>78.8</v>
      </c>
      <c r="AD22" s="579">
        <f>IF(InpPerformance!AD$45&lt;&gt;"",InpPerformance!AD$45,"")</f>
        <v>80.400000000000006</v>
      </c>
      <c r="AE22" s="579">
        <f>IF(InpPerformance!AE$45&lt;&gt;"",InpPerformance!AE$45,"")</f>
        <v>40.4</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1.44</v>
      </c>
      <c r="AM22" s="579">
        <f>IF(InpPerformance!AM$45&lt;&gt;"",InpPerformance!AM$45,"")</f>
        <v>22.4</v>
      </c>
      <c r="AN22" s="579">
        <f>IF(InpPerformance!AN$45&lt;&gt;"",InpPerformance!AN$45,"")</f>
        <v>8.7899999999999991</v>
      </c>
      <c r="AO22" s="581">
        <f>IF(InpPerformance!AO$45&lt;&gt;"",InpPerformance!AO$45,"")</f>
        <v>100</v>
      </c>
      <c r="AP22" s="579">
        <f>IF(InpPerformance!AP$45&lt;&gt;"",InpPerformance!AP$45,"")</f>
        <v>10950</v>
      </c>
      <c r="AQ22" s="579">
        <f>IF(InpPerformance!AQ$45&lt;&gt;"",InpPerformance!AQ$45,"")</f>
        <v>2828</v>
      </c>
      <c r="AR22" s="579">
        <f>IF(InpPerformance!AR$45&lt;&gt;"",InpPerformance!AR$45,"")</f>
        <v>39</v>
      </c>
      <c r="AS22" s="579">
        <f>IF(InpPerformance!AS$45&lt;&gt;"",InpPerformance!AS$45,"")</f>
        <v>97.06</v>
      </c>
      <c r="AT22" s="579">
        <f>IF(InpPerformance!AT$45&lt;&gt;"",InpPerformance!AT$45,"")</f>
        <v>105</v>
      </c>
      <c r="AU22" s="579">
        <f>IF(InpPerformance!AU$45&lt;&gt;"",InpPerformance!AU$45,"")</f>
        <v>535</v>
      </c>
      <c r="AV22" s="579">
        <f>IF(InpPerformance!AV$45&lt;&gt;"",InpPerformance!AV$45,"")</f>
        <v>0</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137.9</v>
      </c>
      <c r="Q23" s="581">
        <f>IF(InpPerformance!Q$46&lt;&gt;"",InpPerformance!Q$46,"")</f>
        <v>4.0199999999999996</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-38</v>
      </c>
      <c r="M24" s="579">
        <f>IF(InpPerformance!M$47&lt;&gt;"",InpPerformance!M$47,"")</f>
        <v>-77.3</v>
      </c>
      <c r="N24" s="579" t="str">
        <f>IF(InpPerformance!N$47&lt;&gt;"",InpPerformance!N$47,"")</f>
        <v/>
      </c>
      <c r="O24" s="579" t="str">
        <f>IF(InpPerformance!O$47&lt;&gt;"",InpPerformance!O$47,"")</f>
        <v/>
      </c>
      <c r="P24" s="579">
        <f>IF(InpPerformance!P$47&lt;&gt;"",InpPerformance!P$47,"")</f>
        <v>198.6</v>
      </c>
      <c r="Q24" s="581">
        <f>IF(InpPerformance!Q$47&lt;&gt;"",InpPerformance!Q$47,"")</f>
        <v>12.74</v>
      </c>
      <c r="R24" s="579" t="str">
        <f>IF(InpPerformance!R$47&lt;&gt;"",InpPerformance!R$47,"")</f>
        <v/>
      </c>
      <c r="S24" s="579">
        <f>IF(InpPerformance!S$47&lt;&gt;"",InpPerformance!S$47,"")</f>
        <v>4.9400000000000004</v>
      </c>
      <c r="T24" s="579" t="str">
        <f>IF(InpPerformance!T$47&lt;&gt;"",InpPerformance!T$47,"")</f>
        <v/>
      </c>
      <c r="U24" s="579" t="str">
        <f>IF(InpPerformance!U$47&lt;&gt;"",InpPerformance!U$47,"")</f>
        <v/>
      </c>
      <c r="V24" s="579" t="str">
        <f>IF(InpPerformance!V$47&lt;&gt;"",InpPerformance!V$47,"")</f>
        <v/>
      </c>
      <c r="W24" s="579">
        <f>IF(InpPerformance!W$47&lt;&gt;"",InpPerformance!W$47,"")</f>
        <v>180</v>
      </c>
      <c r="X24" s="579" t="str">
        <f>IF(InpPerformance!X$47&lt;&gt;"",InpPerformance!X$47,"")</f>
        <v/>
      </c>
      <c r="Y24" s="579">
        <f>IF(InpPerformance!Y$47&lt;&gt;"",InpPerformance!Y$47,"")</f>
        <v>36</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3.6</v>
      </c>
      <c r="AM24" s="579">
        <f>IF(InpPerformance!AM$47&lt;&gt;"",InpPerformance!AM$47,"")</f>
        <v>41.6</v>
      </c>
      <c r="AN24" s="579" t="str">
        <f>IF(InpPerformance!AN$47&lt;&gt;"",InpPerformance!AN$47,"")</f>
        <v/>
      </c>
      <c r="AO24" s="581" t="str">
        <f>IF(InpPerformance!AO$47&lt;&gt;"",InpPerformance!AO$47,"")</f>
        <v/>
      </c>
      <c r="AP24" s="579" t="str">
        <f>IF(InpPerformance!AP$47&lt;&gt;"",InpPerformance!AP$47,"")</f>
        <v/>
      </c>
      <c r="AQ24" s="579">
        <f>IF(InpPerformance!AQ$47&lt;&gt;"",InpPerformance!AQ$47,"")</f>
        <v>5058</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1.028</v>
      </c>
      <c r="L26" s="587">
        <f>IF(InpPerformance!L$49&lt;&gt;"",InpPerformance!L$49,"")</f>
        <v>0.15</v>
      </c>
      <c r="M26" s="587">
        <f>IF(InpPerformance!M$49&lt;&gt;"",InpPerformance!M$49,"")</f>
        <v>0.154</v>
      </c>
      <c r="N26" s="587">
        <f>IF(InpPerformance!N$49&lt;&gt;"",InpPerformance!N$49,"")</f>
        <v>0.17499999999999999</v>
      </c>
      <c r="O26" s="587" t="str">
        <f>IF(InpPerformance!O$49&lt;&gt;"",InpPerformance!O$49,"")</f>
        <v/>
      </c>
      <c r="P26" s="587">
        <f>IF(InpPerformance!P$49&lt;&gt;"",InpPerformance!P$49,"")</f>
        <v>9.8000000000000004E-2</v>
      </c>
      <c r="Q26" s="588" t="str">
        <f>IF(InpPerformance!Q$49&lt;&gt;"",InpPerformance!Q$49,"")</f>
        <v/>
      </c>
      <c r="R26" s="587">
        <f>IF(InpPerformance!R$49&lt;&gt;"",InpPerformance!R$49,"")</f>
        <v>0.26100000000000001</v>
      </c>
      <c r="S26" s="587">
        <f>IF(InpPerformance!S$49&lt;&gt;"",InpPerformance!S$49,"")</f>
        <v>2.665</v>
      </c>
      <c r="T26" s="587">
        <f>IF(InpPerformance!T$49&lt;&gt;"",InpPerformance!T$49,"")</f>
        <v>3.31E-3</v>
      </c>
      <c r="U26" s="587">
        <f>IF(InpPerformance!U$49&lt;&gt;"",InpPerformance!U$49,"")</f>
        <v>0.878</v>
      </c>
      <c r="V26" s="587">
        <f>IF(InpPerformance!V$49&lt;&gt;"",InpPerformance!V$49,"")</f>
        <v>0.878</v>
      </c>
      <c r="W26" s="587" t="str">
        <f>IF(InpPerformance!W$49&lt;&gt;"",InpPerformance!W$49,"")</f>
        <v/>
      </c>
      <c r="X26" s="587">
        <f>IF(InpPerformance!X$49&lt;&gt;"",InpPerformance!X$49,"")</f>
        <v>0.77100000000000002</v>
      </c>
      <c r="Y26" s="587">
        <f>IF(InpPerformance!Y$49&lt;&gt;"",InpPerformance!Y$49,"")</f>
        <v>4.1999999999999998E-5</v>
      </c>
      <c r="Z26" s="587">
        <f>IF(InpPerformance!Z$49&lt;&gt;"",InpPerformance!Z$49,"")</f>
        <v>7.6800000000000002E-3</v>
      </c>
      <c r="AA26" s="587">
        <f>IF(InpPerformance!AA$49&lt;&gt;"",InpPerformance!AA$49,"")</f>
        <v>1.8699999999999999E-4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2.5230000000000001</v>
      </c>
      <c r="AM26" s="587">
        <f>IF(InpPerformance!AM$49&lt;&gt;"",InpPerformance!AM$49,"")</f>
        <v>0.29899999999999999</v>
      </c>
      <c r="AN26" s="587" t="str">
        <f>IF(InpPerformance!AN$49&lt;&gt;"",InpPerformance!AN$49,"")</f>
        <v/>
      </c>
      <c r="AO26" s="588" t="str">
        <f>IF(InpPerformance!AO$49&lt;&gt;"",InpPerformance!AO$49,"")</f>
        <v/>
      </c>
      <c r="AP26" s="587">
        <f>IF(InpPerformance!AP$49&lt;&gt;"",InpPerformance!AP$49,"")</f>
        <v>7.7999999999999999E-4</v>
      </c>
      <c r="AQ26" s="587">
        <f>IF(InpPerformance!AQ$49&lt;&gt;"",InpPerformance!AQ$49,"")</f>
        <v>4.3099999999999996E-3</v>
      </c>
      <c r="AR26" s="587">
        <f>IF(InpPerformance!AR$49&lt;&gt;"",InpPerformance!AR$49,"")</f>
        <v>5.5100000000000003E-2</v>
      </c>
      <c r="AS26" s="587">
        <f>IF(InpPerformance!AS$49&lt;&gt;"",InpPerformance!AS$49,"")</f>
        <v>0.249</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-1.3939999999999999</v>
      </c>
      <c r="K27" s="587">
        <f>IF(InpPerformance!K$50&lt;&gt;"",InpPerformance!K$50,"")</f>
        <v>-1.028</v>
      </c>
      <c r="L27" s="587">
        <f>IF(InpPerformance!L$50&lt;&gt;"",InpPerformance!L$50,"")</f>
        <v>-0.17499999999999999</v>
      </c>
      <c r="M27" s="587">
        <f>IF(InpPerformance!M$50&lt;&gt;"",InpPerformance!M$50,"")</f>
        <v>-0.18</v>
      </c>
      <c r="N27" s="587">
        <f>IF(InpPerformance!N$50&lt;&gt;"",InpPerformance!N$50,"")</f>
        <v>-0.19800000000000001</v>
      </c>
      <c r="O27" s="587" t="str">
        <f>IF(InpPerformance!O$50&lt;&gt;"",InpPerformance!O$50,"")</f>
        <v/>
      </c>
      <c r="P27" s="587">
        <f>IF(InpPerformance!P$50&lt;&gt;"",InpPerformance!P$50,"")</f>
        <v>-0.14899999999999999</v>
      </c>
      <c r="Q27" s="588">
        <f>IF(InpPerformance!Q$50&lt;&gt;"",InpPerformance!Q$50,"")</f>
        <v>-1.72</v>
      </c>
      <c r="R27" s="587">
        <f>IF(InpPerformance!R$50&lt;&gt;"",InpPerformance!R$50,"")</f>
        <v>-0.42799999999999999</v>
      </c>
      <c r="S27" s="587">
        <f>IF(InpPerformance!S$50&lt;&gt;"",InpPerformance!S$50,"")</f>
        <v>-2.665</v>
      </c>
      <c r="T27" s="587">
        <f>IF(InpPerformance!T$50&lt;&gt;"",InpPerformance!T$50,"")</f>
        <v>-3.31E-3</v>
      </c>
      <c r="U27" s="587">
        <f>IF(InpPerformance!U$50&lt;&gt;"",InpPerformance!U$50,"")</f>
        <v>-1.054</v>
      </c>
      <c r="V27" s="587">
        <f>IF(InpPerformance!V$50&lt;&gt;"",InpPerformance!V$50,"")</f>
        <v>-1.054</v>
      </c>
      <c r="W27" s="587">
        <f>IF(InpPerformance!W$50&lt;&gt;"",InpPerformance!W$50,"")</f>
        <v>-2E-3</v>
      </c>
      <c r="X27" s="587">
        <f>IF(InpPerformance!X$50&lt;&gt;"",InpPerformance!X$50,"")</f>
        <v>-1.119</v>
      </c>
      <c r="Y27" s="587">
        <f>IF(InpPerformance!Y$50&lt;&gt;"",InpPerformance!Y$50,"")</f>
        <v>-3.4999999999999997E-5</v>
      </c>
      <c r="Z27" s="587">
        <f>IF(InpPerformance!Z$50&lt;&gt;"",InpPerformance!Z$50,"")</f>
        <v>-1.189E-2</v>
      </c>
      <c r="AA27" s="587">
        <f>IF(InpPerformance!AA$50&lt;&gt;"",InpPerformance!AA$50,"")</f>
        <v>-1.8699999999999999E-4</v>
      </c>
      <c r="AB27" s="587">
        <f>IF(InpPerformance!AB$50&lt;&gt;"",InpPerformance!AB$50,"")</f>
        <v>-0.36899999999999999</v>
      </c>
      <c r="AC27" s="587">
        <f>IF(InpPerformance!AC$50&lt;&gt;"",InpPerformance!AC$50,"")</f>
        <v>-4.6199999999999998E-2</v>
      </c>
      <c r="AD27" s="587">
        <f>IF(InpPerformance!AD$50&lt;&gt;"",InpPerformance!AD$50,"")</f>
        <v>-0.19400000000000001</v>
      </c>
      <c r="AE27" s="587">
        <f>IF(InpPerformance!AE$50&lt;&gt;"",InpPerformance!AE$50,"")</f>
        <v>-7.3000000000000001E-3</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-2.5230000000000001</v>
      </c>
      <c r="AM27" s="587">
        <f>IF(InpPerformance!AM$50&lt;&gt;"",InpPerformance!AM$50,"")</f>
        <v>-0.36499999999999999</v>
      </c>
      <c r="AN27" s="587">
        <f>IF(InpPerformance!AN$50&lt;&gt;"",InpPerformance!AN$50,"")</f>
        <v>-0.32200000000000001</v>
      </c>
      <c r="AO27" s="588">
        <f>IF(InpPerformance!AO$50&lt;&gt;"",InpPerformance!AO$50,"")</f>
        <v>-0.59699999999999998</v>
      </c>
      <c r="AP27" s="587">
        <f>IF(InpPerformance!AP$50&lt;&gt;"",InpPerformance!AP$50,"")</f>
        <v>-1.4430000000000001E-3</v>
      </c>
      <c r="AQ27" s="587">
        <f>IF(InpPerformance!AQ$50&lt;&gt;"",InpPerformance!AQ$50,"")</f>
        <v>-6.2700000000000004E-3</v>
      </c>
      <c r="AR27" s="587">
        <f>IF(InpPerformance!AR$50&lt;&gt;"",InpPerformance!AR$50,"")</f>
        <v>-5.5100000000000003E-2</v>
      </c>
      <c r="AS27" s="587">
        <f>IF(InpPerformance!AS$50&lt;&gt;"",InpPerformance!AS$50,"")</f>
        <v>-0.249</v>
      </c>
      <c r="AT27" s="587">
        <f>IF(InpPerformance!AT$50&lt;&gt;"",InpPerformance!AT$50,"")</f>
        <v>-0.127</v>
      </c>
      <c r="AU27" s="587">
        <f>IF(InpPerformance!AU$50&lt;&gt;"",InpPerformance!AU$50,"")</f>
        <v>-1.83E-2</v>
      </c>
      <c r="AV27" s="587">
        <f>IF(InpPerformance!AV$50&lt;&gt;"",InpPerformance!AV$50,"")</f>
        <v>-2.7400000000000001E-2</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1228</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1229</v>
      </c>
      <c r="F30" s="444"/>
      <c r="G30" s="444" t="s">
        <v>425</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1</v>
      </c>
      <c r="V30" s="514" t="b">
        <f t="shared" si="4"/>
        <v>1</v>
      </c>
      <c r="W30" s="514" t="b">
        <f t="shared" si="4"/>
        <v>0</v>
      </c>
      <c r="X30" s="514" t="b">
        <f t="shared" si="4"/>
        <v>1</v>
      </c>
      <c r="Y30" s="514" t="b">
        <f t="shared" si="4"/>
        <v>1</v>
      </c>
      <c r="Z30" s="514" t="b">
        <f t="shared" si="4"/>
        <v>1</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1</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1230</v>
      </c>
      <c r="F31" s="444"/>
      <c r="G31" s="444" t="s">
        <v>425</v>
      </c>
      <c r="H31" s="444"/>
      <c r="I31" s="444"/>
      <c r="J31" s="506" t="b">
        <f>IF(J30=TRUE,IF(((J$17-J$22)*J$14)&gt;0,TRUE,FALSE),FALSE)</f>
        <v>0</v>
      </c>
      <c r="K31" s="502" t="b">
        <f t="shared" ref="K31:BC31" si="5">IF(K30=TRUE,IF(((K$17-K$22)*K$14)&gt;0,TRUE,FALSE),FALSE)</f>
        <v>0</v>
      </c>
      <c r="L31" s="502" t="b">
        <f t="shared" si="5"/>
        <v>1</v>
      </c>
      <c r="M31" s="502" t="b">
        <f t="shared" si="5"/>
        <v>1</v>
      </c>
      <c r="N31" s="502" t="b">
        <f t="shared" si="5"/>
        <v>0</v>
      </c>
      <c r="O31" s="502" t="b">
        <f t="shared" si="5"/>
        <v>0</v>
      </c>
      <c r="P31" s="502" t="b">
        <f t="shared" si="5"/>
        <v>0</v>
      </c>
      <c r="Q31" s="503" t="b">
        <f t="shared" si="5"/>
        <v>0</v>
      </c>
      <c r="R31" s="502" t="b">
        <f t="shared" si="5"/>
        <v>0</v>
      </c>
      <c r="S31" s="502" t="b">
        <f t="shared" si="5"/>
        <v>1</v>
      </c>
      <c r="T31" s="502" t="b">
        <f t="shared" si="5"/>
        <v>1</v>
      </c>
      <c r="U31" s="502" t="b">
        <f t="shared" si="5"/>
        <v>1</v>
      </c>
      <c r="V31" s="502" t="b">
        <f t="shared" si="5"/>
        <v>1</v>
      </c>
      <c r="W31" s="502" t="b">
        <f t="shared" si="5"/>
        <v>0</v>
      </c>
      <c r="X31" s="502" t="b">
        <f t="shared" si="5"/>
        <v>0</v>
      </c>
      <c r="Y31" s="502" t="b">
        <f t="shared" si="5"/>
        <v>0</v>
      </c>
      <c r="Z31" s="502" t="b">
        <f t="shared" si="5"/>
        <v>1</v>
      </c>
      <c r="AA31" s="502" t="b">
        <f t="shared" si="5"/>
        <v>1</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1</v>
      </c>
      <c r="AN31" s="502" t="b">
        <f t="shared" si="5"/>
        <v>0</v>
      </c>
      <c r="AO31" s="503" t="b">
        <f t="shared" si="5"/>
        <v>0</v>
      </c>
      <c r="AP31" s="502" t="b">
        <f t="shared" si="5"/>
        <v>1</v>
      </c>
      <c r="AQ31" s="502" t="b">
        <f t="shared" si="5"/>
        <v>1</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0</v>
      </c>
      <c r="L32" s="502" t="b">
        <f t="shared" si="7"/>
        <v>1</v>
      </c>
      <c r="M32" s="502" t="b">
        <f>IF(M31=TRUE,IF(M21="",TRUE,ABS(M17-M22)&gt;ABS(M21-M22)),FALSE)</f>
        <v>1</v>
      </c>
      <c r="N32" s="502" t="b">
        <f t="shared" si="7"/>
        <v>0</v>
      </c>
      <c r="O32" s="502" t="b">
        <f>IF(O31=TRUE,IF(O21="",TRUE,ABS(O17-O22)&gt;ABS(O21-O22)),FALSE)</f>
        <v>0</v>
      </c>
      <c r="P32" s="502" t="b">
        <f t="shared" si="7"/>
        <v>0</v>
      </c>
      <c r="Q32" s="503" t="b">
        <f t="shared" si="7"/>
        <v>0</v>
      </c>
      <c r="R32" s="502" t="b">
        <f t="shared" si="7"/>
        <v>0</v>
      </c>
      <c r="S32" s="502" t="b">
        <f t="shared" si="7"/>
        <v>1</v>
      </c>
      <c r="T32" s="502" t="b">
        <f t="shared" si="7"/>
        <v>1</v>
      </c>
      <c r="U32" s="502" t="b">
        <f t="shared" si="7"/>
        <v>1</v>
      </c>
      <c r="V32" s="502" t="b">
        <f t="shared" si="7"/>
        <v>1</v>
      </c>
      <c r="W32" s="502" t="b">
        <f t="shared" si="7"/>
        <v>0</v>
      </c>
      <c r="X32" s="502" t="b">
        <f t="shared" si="7"/>
        <v>0</v>
      </c>
      <c r="Y32" s="502" t="b">
        <f t="shared" si="7"/>
        <v>0</v>
      </c>
      <c r="Z32" s="502" t="b">
        <f t="shared" si="7"/>
        <v>1</v>
      </c>
      <c r="AA32" s="502" t="b">
        <f t="shared" si="7"/>
        <v>1</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1</v>
      </c>
      <c r="AN32" s="502" t="b">
        <f t="shared" si="7"/>
        <v>0</v>
      </c>
      <c r="AO32" s="503" t="b">
        <f t="shared" si="7"/>
        <v>0</v>
      </c>
      <c r="AP32" s="502" t="b">
        <f t="shared" si="7"/>
        <v>1</v>
      </c>
      <c r="AQ32" s="502" t="b">
        <f t="shared" si="7"/>
        <v>1</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1232</v>
      </c>
      <c r="F33" s="444"/>
      <c r="G33" s="444" t="str">
        <f>G7</f>
        <v>Performance commitment unit</v>
      </c>
      <c r="H33" s="444"/>
      <c r="I33" s="444"/>
      <c r="J33" s="483" t="str">
        <f t="shared" ref="J33:BS33" si="8">IF(J32=TRUE,IF(J$14&gt;0,MIN(J$17,J20),MAX(J$17,J20)),"")</f>
        <v/>
      </c>
      <c r="K33" s="483" t="str">
        <f t="shared" si="8"/>
        <v/>
      </c>
      <c r="L33" s="483">
        <f t="shared" si="8"/>
        <v>9.0504451038575731</v>
      </c>
      <c r="M33" s="483">
        <f>IF(M32=TRUE,IF(M$14&gt;0,MIN(M$17,M20),MAX(M$17,M20)),"")</f>
        <v>12.576687116564422</v>
      </c>
      <c r="N33" s="483" t="str">
        <f t="shared" si="8"/>
        <v/>
      </c>
      <c r="O33" s="483" t="str">
        <f>IF(O32=TRUE,IF(O$14&gt;0,MIN(O$17,O20),MAX(O$17,O20)),"")</f>
        <v/>
      </c>
      <c r="P33" s="483" t="str">
        <f t="shared" si="8"/>
        <v/>
      </c>
      <c r="Q33" s="484" t="str">
        <f t="shared" si="8"/>
        <v/>
      </c>
      <c r="R33" s="483" t="str">
        <f t="shared" si="8"/>
        <v/>
      </c>
      <c r="S33" s="483">
        <f t="shared" si="8"/>
        <v>3.75</v>
      </c>
      <c r="T33" s="483">
        <f t="shared" si="8"/>
        <v>150</v>
      </c>
      <c r="U33" s="483">
        <f t="shared" si="8"/>
        <v>7.42</v>
      </c>
      <c r="V33" s="483">
        <f t="shared" si="8"/>
        <v>1.74</v>
      </c>
      <c r="W33" s="483" t="str">
        <f t="shared" si="8"/>
        <v/>
      </c>
      <c r="X33" s="483" t="str">
        <f t="shared" si="8"/>
        <v/>
      </c>
      <c r="Y33" s="483" t="str">
        <f t="shared" si="8"/>
        <v/>
      </c>
      <c r="Z33" s="483">
        <f t="shared" si="8"/>
        <v>58</v>
      </c>
      <c r="AA33" s="483">
        <f t="shared" si="8"/>
        <v>15627</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1.23</v>
      </c>
      <c r="AM33" s="483">
        <f t="shared" si="8"/>
        <v>22.31</v>
      </c>
      <c r="AN33" s="483" t="str">
        <f t="shared" si="8"/>
        <v/>
      </c>
      <c r="AO33" s="484" t="str">
        <f t="shared" si="8"/>
        <v/>
      </c>
      <c r="AP33" s="483">
        <f t="shared" si="8"/>
        <v>10500</v>
      </c>
      <c r="AQ33" s="483">
        <f t="shared" si="8"/>
        <v>2824</v>
      </c>
      <c r="AR33" s="483">
        <f t="shared" si="8"/>
        <v>27</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1233</v>
      </c>
      <c r="F34" s="444"/>
      <c r="G34" s="444" t="str">
        <f>G7</f>
        <v>Performance commitment unit</v>
      </c>
      <c r="H34" s="444"/>
      <c r="I34" s="444"/>
      <c r="J34" s="483" t="str">
        <f>IF(J32=TRUE,ABS(IF(J21&lt;&gt;"",J21,J22)-J33),"")</f>
        <v/>
      </c>
      <c r="K34" s="483" t="str">
        <f t="shared" ref="K34:BS34" si="9">IF(K32=TRUE,ABS(IF(K21&lt;&gt;"",K21,K22)-K33),"")</f>
        <v/>
      </c>
      <c r="L34" s="483">
        <f t="shared" si="9"/>
        <v>5.0445103857573059E-2</v>
      </c>
      <c r="M34" s="483">
        <f>IF(M32=TRUE,ABS(IF(M21&lt;&gt;"",M21,M22)-M33),"")</f>
        <v>2.0766871165644218</v>
      </c>
      <c r="N34" s="483" t="str">
        <f t="shared" si="9"/>
        <v/>
      </c>
      <c r="O34" s="483" t="str">
        <f>IF(O32=TRUE,ABS(IF(O21&lt;&gt;"",O21,O22)-O33),"")</f>
        <v/>
      </c>
      <c r="P34" s="483" t="str">
        <f t="shared" si="9"/>
        <v/>
      </c>
      <c r="Q34" s="484" t="str">
        <f t="shared" si="9"/>
        <v/>
      </c>
      <c r="R34" s="483" t="str">
        <f t="shared" si="9"/>
        <v/>
      </c>
      <c r="S34" s="483">
        <f t="shared" si="9"/>
        <v>0.5</v>
      </c>
      <c r="T34" s="483">
        <f t="shared" si="9"/>
        <v>275</v>
      </c>
      <c r="U34" s="483">
        <f t="shared" si="9"/>
        <v>0.79000000000000092</v>
      </c>
      <c r="V34" s="483">
        <f t="shared" si="9"/>
        <v>0.30000000000000004</v>
      </c>
      <c r="W34" s="483" t="str">
        <f t="shared" si="9"/>
        <v/>
      </c>
      <c r="X34" s="483" t="str">
        <f t="shared" si="9"/>
        <v/>
      </c>
      <c r="Y34" s="483" t="str">
        <f t="shared" si="9"/>
        <v/>
      </c>
      <c r="Z34" s="483">
        <f t="shared" si="9"/>
        <v>48</v>
      </c>
      <c r="AA34" s="483">
        <f t="shared" si="9"/>
        <v>7686</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0.20999999999999996</v>
      </c>
      <c r="AM34" s="483">
        <f t="shared" si="9"/>
        <v>8.9999999999999858E-2</v>
      </c>
      <c r="AN34" s="483" t="str">
        <f t="shared" si="9"/>
        <v/>
      </c>
      <c r="AO34" s="484" t="str">
        <f t="shared" si="9"/>
        <v/>
      </c>
      <c r="AP34" s="483">
        <f t="shared" si="9"/>
        <v>450</v>
      </c>
      <c r="AQ34" s="483">
        <f t="shared" si="9"/>
        <v>4</v>
      </c>
      <c r="AR34" s="483">
        <f t="shared" si="9"/>
        <v>12</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1235</v>
      </c>
      <c r="F38" s="444"/>
      <c r="G38" s="444" t="s">
        <v>1073</v>
      </c>
      <c r="H38" s="444"/>
      <c r="I38" s="444"/>
      <c r="J38" s="591" t="str">
        <f>IF(AND(J37=TRUE,J32=TRUE),J34*24*60,J34)</f>
        <v/>
      </c>
      <c r="K38" s="591" t="str">
        <f t="shared" ref="K38:BS38" si="10">IF(AND(K37=TRUE,K32=TRUE),K34*24*60,K34)</f>
        <v/>
      </c>
      <c r="L38" s="591">
        <f t="shared" si="10"/>
        <v>5.0445103857573059E-2</v>
      </c>
      <c r="M38" s="591">
        <f>IF(AND(M37=TRUE,M32=TRUE),M34*24*60,M34)</f>
        <v>2.0766871165644218</v>
      </c>
      <c r="N38" s="591" t="str">
        <f t="shared" si="10"/>
        <v/>
      </c>
      <c r="O38" s="591" t="str">
        <f>IF(AND(O37=TRUE,O32=TRUE),O34*24*60,O34)</f>
        <v/>
      </c>
      <c r="P38" s="591" t="str">
        <f t="shared" si="10"/>
        <v/>
      </c>
      <c r="Q38" s="592" t="str">
        <f t="shared" si="10"/>
        <v/>
      </c>
      <c r="R38" s="591" t="str">
        <f t="shared" si="10"/>
        <v/>
      </c>
      <c r="S38" s="591">
        <f t="shared" si="10"/>
        <v>0.5</v>
      </c>
      <c r="T38" s="591">
        <f t="shared" si="10"/>
        <v>275</v>
      </c>
      <c r="U38" s="591">
        <f t="shared" si="10"/>
        <v>0.79000000000000092</v>
      </c>
      <c r="V38" s="591">
        <f t="shared" si="10"/>
        <v>0.30000000000000004</v>
      </c>
      <c r="W38" s="591" t="str">
        <f t="shared" si="10"/>
        <v/>
      </c>
      <c r="X38" s="591" t="str">
        <f t="shared" si="10"/>
        <v/>
      </c>
      <c r="Y38" s="591" t="str">
        <f t="shared" si="10"/>
        <v/>
      </c>
      <c r="Z38" s="591">
        <f t="shared" si="10"/>
        <v>48</v>
      </c>
      <c r="AA38" s="591">
        <f t="shared" si="10"/>
        <v>7686</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0.20999999999999996</v>
      </c>
      <c r="AM38" s="591">
        <f t="shared" si="10"/>
        <v>8.9999999999999858E-2</v>
      </c>
      <c r="AN38" s="591" t="str">
        <f t="shared" si="10"/>
        <v/>
      </c>
      <c r="AO38" s="592" t="str">
        <f t="shared" si="10"/>
        <v/>
      </c>
      <c r="AP38" s="591">
        <f t="shared" si="10"/>
        <v>450</v>
      </c>
      <c r="AQ38" s="591">
        <f t="shared" si="10"/>
        <v>4</v>
      </c>
      <c r="AR38" s="591">
        <f t="shared" si="10"/>
        <v>12</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134.80000000000001</v>
      </c>
      <c r="M40" s="579">
        <f>IF(InpPerformance!M$8&lt;&gt;"",ROUND(InpPerformance!M$8,1),"")</f>
        <v>65.2</v>
      </c>
      <c r="N40" s="579">
        <f>IF(InpPerformance!N$8&lt;&gt;"",ROUND(InpPerformance!N$8,1),"")</f>
        <v>150.6</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1236</v>
      </c>
      <c r="F41" s="444"/>
      <c r="G41" s="444" t="s">
        <v>1073</v>
      </c>
      <c r="H41" s="444"/>
      <c r="I41" s="444"/>
      <c r="J41" s="591" t="str">
        <f>IF(AND(J39=TRUE,J32=TRUE),ROUND((J38/100)*J40,1),J38)</f>
        <v/>
      </c>
      <c r="K41" s="591" t="str">
        <f t="shared" ref="K41:BS41" si="11">IF(AND(K39=TRUE,K32=TRUE),ROUND((K38/100)*K40,1),K38)</f>
        <v/>
      </c>
      <c r="L41" s="591">
        <f>IF(AND(L39=TRUE,L32=TRUE),ROUND((L38/100)*L40,1),L38)</f>
        <v>0.1</v>
      </c>
      <c r="M41" s="591">
        <f>IF(AND(M39=TRUE,M32=TRUE),ROUND((M38/100)*M40,1),M38)</f>
        <v>1.4</v>
      </c>
      <c r="N41" s="591" t="str">
        <f t="shared" si="11"/>
        <v/>
      </c>
      <c r="O41" s="591" t="str">
        <f>IF(AND(O39=TRUE,O32=TRUE),ROUND((O38/100)*O40,1),O38)</f>
        <v/>
      </c>
      <c r="P41" s="591" t="str">
        <f t="shared" si="11"/>
        <v/>
      </c>
      <c r="Q41" s="592" t="str">
        <f t="shared" si="11"/>
        <v/>
      </c>
      <c r="R41" s="591" t="str">
        <f t="shared" si="11"/>
        <v/>
      </c>
      <c r="S41" s="591">
        <f t="shared" si="11"/>
        <v>0.5</v>
      </c>
      <c r="T41" s="591">
        <f t="shared" si="11"/>
        <v>275</v>
      </c>
      <c r="U41" s="591">
        <f t="shared" si="11"/>
        <v>0.79000000000000092</v>
      </c>
      <c r="V41" s="591">
        <f t="shared" si="11"/>
        <v>0.30000000000000004</v>
      </c>
      <c r="W41" s="591" t="str">
        <f t="shared" si="11"/>
        <v/>
      </c>
      <c r="X41" s="591" t="str">
        <f t="shared" si="11"/>
        <v/>
      </c>
      <c r="Y41" s="591" t="str">
        <f t="shared" si="11"/>
        <v/>
      </c>
      <c r="Z41" s="591">
        <f t="shared" si="11"/>
        <v>48</v>
      </c>
      <c r="AA41" s="591">
        <f t="shared" si="11"/>
        <v>7686</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0.20999999999999996</v>
      </c>
      <c r="AM41" s="591">
        <f t="shared" si="11"/>
        <v>8.9999999999999858E-2</v>
      </c>
      <c r="AN41" s="591" t="str">
        <f t="shared" si="11"/>
        <v/>
      </c>
      <c r="AO41" s="592" t="str">
        <f t="shared" si="11"/>
        <v/>
      </c>
      <c r="AP41" s="591">
        <f t="shared" si="11"/>
        <v>450</v>
      </c>
      <c r="AQ41" s="591">
        <f t="shared" si="11"/>
        <v>4</v>
      </c>
      <c r="AR41" s="591">
        <f t="shared" si="11"/>
        <v>12</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1.028</v>
      </c>
      <c r="L44" s="587">
        <f>InpPerformance!L49</f>
        <v>0.15</v>
      </c>
      <c r="M44" s="587">
        <f>InpPerformance!M49</f>
        <v>0.154</v>
      </c>
      <c r="N44" s="587">
        <f>InpPerformance!N49</f>
        <v>0.17499999999999999</v>
      </c>
      <c r="O44" s="587" t="str">
        <f>InpPerformance!O49</f>
        <v/>
      </c>
      <c r="P44" s="587">
        <f>InpPerformance!P49</f>
        <v>9.8000000000000004E-2</v>
      </c>
      <c r="Q44" s="588" t="str">
        <f>InpPerformance!Q49</f>
        <v/>
      </c>
      <c r="R44" s="587">
        <f>InpPerformance!R49</f>
        <v>0.26100000000000001</v>
      </c>
      <c r="S44" s="587">
        <f>InpPerformance!S49</f>
        <v>2.665</v>
      </c>
      <c r="T44" s="587">
        <f>InpPerformance!T49</f>
        <v>3.31E-3</v>
      </c>
      <c r="U44" s="587">
        <f>InpPerformance!U49</f>
        <v>0.878</v>
      </c>
      <c r="V44" s="587">
        <f>InpPerformance!V49</f>
        <v>0.878</v>
      </c>
      <c r="W44" s="587" t="str">
        <f>InpPerformance!W49</f>
        <v/>
      </c>
      <c r="X44" s="587">
        <f>InpPerformance!X49</f>
        <v>0.77100000000000002</v>
      </c>
      <c r="Y44" s="587">
        <f>InpPerformance!Y49</f>
        <v>4.1999999999999998E-5</v>
      </c>
      <c r="Z44" s="587">
        <f>InpPerformance!Z49</f>
        <v>7.6800000000000002E-3</v>
      </c>
      <c r="AA44" s="587">
        <f>InpPerformance!AA49</f>
        <v>1.8699999999999999E-4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2.5230000000000001</v>
      </c>
      <c r="AM44" s="587">
        <f>InpPerformance!AM49</f>
        <v>0.29899999999999999</v>
      </c>
      <c r="AN44" s="587" t="str">
        <f>InpPerformance!AN49</f>
        <v/>
      </c>
      <c r="AO44" s="588" t="str">
        <f>InpPerformance!AO49</f>
        <v/>
      </c>
      <c r="AP44" s="587">
        <f>InpPerformance!AP49</f>
        <v>7.7999999999999999E-4</v>
      </c>
      <c r="AQ44" s="587">
        <f>InpPerformance!AQ49</f>
        <v>4.3099999999999996E-3</v>
      </c>
      <c r="AR44" s="587">
        <f>InpPerformance!AR49</f>
        <v>5.5100000000000003E-2</v>
      </c>
      <c r="AS44" s="587">
        <f>InpPerformance!AS49</f>
        <v>0.249</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v>
      </c>
      <c r="L45" s="567">
        <f t="shared" si="12"/>
        <v>1.4999999999999999E-2</v>
      </c>
      <c r="M45" s="567">
        <f>IF(M32=TRUE,M41*M44,0)</f>
        <v>0.21559999999999999</v>
      </c>
      <c r="N45" s="567">
        <f t="shared" si="12"/>
        <v>0</v>
      </c>
      <c r="O45" s="567">
        <f>IF(O32=TRUE,O41*O44,0)</f>
        <v>0</v>
      </c>
      <c r="P45" s="567">
        <f t="shared" si="12"/>
        <v>0</v>
      </c>
      <c r="Q45" s="568">
        <f t="shared" si="12"/>
        <v>0</v>
      </c>
      <c r="R45" s="567">
        <f t="shared" si="12"/>
        <v>0</v>
      </c>
      <c r="S45" s="567">
        <f t="shared" si="12"/>
        <v>1.3325</v>
      </c>
      <c r="T45" s="567">
        <f t="shared" si="12"/>
        <v>0.91025</v>
      </c>
      <c r="U45" s="567">
        <f t="shared" si="12"/>
        <v>0.69362000000000079</v>
      </c>
      <c r="V45" s="567">
        <f t="shared" si="12"/>
        <v>0.26340000000000002</v>
      </c>
      <c r="W45" s="567">
        <f t="shared" si="12"/>
        <v>0</v>
      </c>
      <c r="X45" s="567">
        <f t="shared" si="12"/>
        <v>0</v>
      </c>
      <c r="Y45" s="567">
        <f t="shared" si="12"/>
        <v>0</v>
      </c>
      <c r="Z45" s="567">
        <f t="shared" si="12"/>
        <v>0.36864000000000002</v>
      </c>
      <c r="AA45" s="567">
        <f t="shared" si="12"/>
        <v>1.4372819999999999</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0.52982999999999991</v>
      </c>
      <c r="AM45" s="567">
        <f t="shared" si="12"/>
        <v>2.6909999999999955E-2</v>
      </c>
      <c r="AN45" s="567">
        <f t="shared" si="12"/>
        <v>0</v>
      </c>
      <c r="AO45" s="568">
        <f t="shared" si="12"/>
        <v>0</v>
      </c>
      <c r="AP45" s="567">
        <f t="shared" si="12"/>
        <v>0.35099999999999998</v>
      </c>
      <c r="AQ45" s="567">
        <f t="shared" si="12"/>
        <v>1.7239999999999998E-2</v>
      </c>
      <c r="AR45" s="567">
        <f t="shared" si="12"/>
        <v>0.66120000000000001</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1240</v>
      </c>
      <c r="F48" s="444"/>
      <c r="G48" s="444" t="s">
        <v>425</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1</v>
      </c>
      <c r="AB48" s="514" t="b">
        <f t="shared" si="13"/>
        <v>1</v>
      </c>
      <c r="AC48" s="514" t="b">
        <f t="shared" si="13"/>
        <v>1</v>
      </c>
      <c r="AD48" s="514" t="b">
        <f t="shared" si="13"/>
        <v>1</v>
      </c>
      <c r="AE48" s="514" t="b">
        <f t="shared" si="13"/>
        <v>1</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1241</v>
      </c>
      <c r="F49" s="444"/>
      <c r="G49" s="444" t="s">
        <v>425</v>
      </c>
      <c r="H49" s="444"/>
      <c r="I49" s="444"/>
      <c r="J49" s="506" t="b">
        <f>IF(J48=TRUE,IF(((J$17-J$22)*J$14)&lt;0,TRUE,FALSE),FALSE)</f>
        <v>1</v>
      </c>
      <c r="K49" s="485" t="b">
        <f t="shared" ref="K49:BC49" si="14">IF(K48=TRUE,IF(((K$17-K$22)*K$14)&lt;0,TRUE,FALSE),FALSE)</f>
        <v>1</v>
      </c>
      <c r="L49" s="485" t="b">
        <f t="shared" si="14"/>
        <v>0</v>
      </c>
      <c r="M49" s="485" t="b">
        <f t="shared" si="14"/>
        <v>0</v>
      </c>
      <c r="N49" s="485" t="b">
        <f t="shared" si="14"/>
        <v>1</v>
      </c>
      <c r="O49" s="485" t="b">
        <f t="shared" si="14"/>
        <v>0</v>
      </c>
      <c r="P49" s="485" t="b">
        <f t="shared" si="14"/>
        <v>0</v>
      </c>
      <c r="Q49" s="487" t="b">
        <f t="shared" si="14"/>
        <v>0</v>
      </c>
      <c r="R49" s="485" t="b">
        <f t="shared" si="14"/>
        <v>1</v>
      </c>
      <c r="S49" s="485" t="b">
        <f t="shared" si="14"/>
        <v>0</v>
      </c>
      <c r="T49" s="485" t="b">
        <f t="shared" si="14"/>
        <v>0</v>
      </c>
      <c r="U49" s="485" t="b">
        <f t="shared" si="14"/>
        <v>0</v>
      </c>
      <c r="V49" s="485" t="b">
        <f t="shared" si="14"/>
        <v>0</v>
      </c>
      <c r="W49" s="485" t="b">
        <f t="shared" si="14"/>
        <v>0</v>
      </c>
      <c r="X49" s="486" t="b">
        <f t="shared" si="14"/>
        <v>1</v>
      </c>
      <c r="Y49" s="485" t="b">
        <f t="shared" si="14"/>
        <v>0</v>
      </c>
      <c r="Z49" s="485" t="b">
        <f t="shared" si="14"/>
        <v>0</v>
      </c>
      <c r="AA49" s="485" t="b">
        <f t="shared" si="14"/>
        <v>0</v>
      </c>
      <c r="AB49" s="485" t="b">
        <f t="shared" si="14"/>
        <v>0</v>
      </c>
      <c r="AC49" s="485" t="b">
        <f t="shared" si="14"/>
        <v>1</v>
      </c>
      <c r="AD49" s="485" t="b">
        <f t="shared" si="14"/>
        <v>1</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1</v>
      </c>
      <c r="AP49" s="485" t="b">
        <f t="shared" si="14"/>
        <v>0</v>
      </c>
      <c r="AQ49" s="485" t="b">
        <f t="shared" si="14"/>
        <v>0</v>
      </c>
      <c r="AR49" s="485" t="b">
        <f t="shared" si="14"/>
        <v>0</v>
      </c>
      <c r="AS49" s="485" t="b">
        <f t="shared" si="14"/>
        <v>1</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1242</v>
      </c>
      <c r="F50" s="444"/>
      <c r="G50" s="444" t="s">
        <v>425</v>
      </c>
      <c r="H50" s="444"/>
      <c r="I50" s="444"/>
      <c r="J50" s="506" t="b">
        <f>IF(J49=TRUE,IF(J23="",TRUE,ABS(J$17-J$22)&gt;ABS(J23-J22)),FALSE)</f>
        <v>1</v>
      </c>
      <c r="K50" s="485" t="b">
        <f t="shared" ref="K50:BS50" si="16">IF(K49=TRUE,IF(K23="",TRUE,ABS(K$17-K$22)&gt;ABS(K23-K22)),FALSE)</f>
        <v>1</v>
      </c>
      <c r="L50" s="485" t="b">
        <f t="shared" si="16"/>
        <v>0</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0</v>
      </c>
      <c r="T50" s="485" t="b">
        <f t="shared" si="16"/>
        <v>0</v>
      </c>
      <c r="U50" s="485" t="b">
        <f t="shared" si="16"/>
        <v>0</v>
      </c>
      <c r="V50" s="485" t="b">
        <f t="shared" si="16"/>
        <v>0</v>
      </c>
      <c r="W50" s="485" t="b">
        <f t="shared" si="16"/>
        <v>0</v>
      </c>
      <c r="X50" s="485" t="b">
        <f t="shared" si="16"/>
        <v>1</v>
      </c>
      <c r="Y50" s="485" t="b">
        <f t="shared" si="16"/>
        <v>0</v>
      </c>
      <c r="Z50" s="485" t="b">
        <f t="shared" si="16"/>
        <v>0</v>
      </c>
      <c r="AA50" s="485" t="b">
        <f t="shared" si="16"/>
        <v>0</v>
      </c>
      <c r="AB50" s="485" t="b">
        <f t="shared" si="16"/>
        <v>0</v>
      </c>
      <c r="AC50" s="485" t="b">
        <f t="shared" si="16"/>
        <v>1</v>
      </c>
      <c r="AD50" s="485" t="b">
        <f t="shared" si="16"/>
        <v>1</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1</v>
      </c>
      <c r="AP50" s="485" t="b">
        <f t="shared" si="16"/>
        <v>0</v>
      </c>
      <c r="AQ50" s="485" t="b">
        <f t="shared" si="16"/>
        <v>0</v>
      </c>
      <c r="AR50" s="485" t="b">
        <f t="shared" si="16"/>
        <v>0</v>
      </c>
      <c r="AS50" s="485" t="b">
        <f t="shared" si="16"/>
        <v>1</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1243</v>
      </c>
      <c r="F51" s="444"/>
      <c r="G51" s="444" t="str">
        <f>G7</f>
        <v>Performance commitment unit</v>
      </c>
      <c r="H51" s="444"/>
      <c r="I51" s="444"/>
      <c r="J51" s="483">
        <f t="shared" ref="J51:O51" si="17">IF(J50=TRUE,IF(J14&gt;0,MAX(J17,J24),MIN(J17,J24)),"")</f>
        <v>2.91</v>
      </c>
      <c r="K51" s="483">
        <f t="shared" si="17"/>
        <v>4.5486111111111109E-3</v>
      </c>
      <c r="L51" s="483" t="str">
        <f t="shared" si="17"/>
        <v/>
      </c>
      <c r="M51" s="483" t="str">
        <f t="shared" si="17"/>
        <v/>
      </c>
      <c r="N51" s="483">
        <f t="shared" si="17"/>
        <v>-2.4568393094289709</v>
      </c>
      <c r="O51" s="483" t="str">
        <f t="shared" si="17"/>
        <v/>
      </c>
      <c r="P51" s="483" t="str">
        <f t="shared" ref="P51:BS51" si="18">IF(P50=TRUE,IF(P14&gt;0,MAX(P17,P24),MIN(P17,P24)),"")</f>
        <v/>
      </c>
      <c r="Q51" s="484" t="str">
        <f t="shared" si="18"/>
        <v/>
      </c>
      <c r="R51" s="483">
        <f t="shared" si="18"/>
        <v>7.2</v>
      </c>
      <c r="S51" s="483" t="str">
        <f t="shared" si="18"/>
        <v/>
      </c>
      <c r="T51" s="483" t="str">
        <f t="shared" si="18"/>
        <v/>
      </c>
      <c r="U51" s="483" t="str">
        <f t="shared" si="18"/>
        <v/>
      </c>
      <c r="V51" s="483" t="str">
        <f t="shared" si="18"/>
        <v/>
      </c>
      <c r="W51" s="483" t="str">
        <f t="shared" si="18"/>
        <v/>
      </c>
      <c r="X51" s="483">
        <f t="shared" si="18"/>
        <v>96.6</v>
      </c>
      <c r="Y51" s="483" t="str">
        <f t="shared" si="18"/>
        <v/>
      </c>
      <c r="Z51" s="483" t="str">
        <f t="shared" si="18"/>
        <v/>
      </c>
      <c r="AA51" s="483" t="str">
        <f t="shared" si="18"/>
        <v/>
      </c>
      <c r="AB51" s="483" t="str">
        <f t="shared" si="18"/>
        <v/>
      </c>
      <c r="AC51" s="483">
        <f t="shared" si="18"/>
        <v>59.9</v>
      </c>
      <c r="AD51" s="483">
        <f t="shared" si="18"/>
        <v>47.4</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f t="shared" si="18"/>
        <v>98.52</v>
      </c>
      <c r="AP51" s="483" t="str">
        <f t="shared" si="18"/>
        <v/>
      </c>
      <c r="AQ51" s="483" t="str">
        <f t="shared" si="18"/>
        <v/>
      </c>
      <c r="AR51" s="483" t="str">
        <f t="shared" si="18"/>
        <v/>
      </c>
      <c r="AS51" s="483">
        <f t="shared" si="18"/>
        <v>94.1</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1244</v>
      </c>
      <c r="F52" s="444"/>
      <c r="G52" s="444" t="str">
        <f>G7</f>
        <v>Performance commitment unit</v>
      </c>
      <c r="H52" s="444"/>
      <c r="I52" s="444"/>
      <c r="J52" s="483">
        <f>IF(J50=TRUE,ABS(IF(J23&lt;&gt;"",J23,J22)-J51),"")</f>
        <v>1.4100000000000001</v>
      </c>
      <c r="K52" s="483">
        <f t="shared" ref="K52:BS52" si="19">IF(K50=TRUE,ABS(IF(K23&lt;&gt;"",K23,K22)-K51),"")</f>
        <v>8.1018518518518462E-4</v>
      </c>
      <c r="L52" s="483" t="str">
        <f t="shared" si="19"/>
        <v/>
      </c>
      <c r="M52" s="483" t="str">
        <f>IF(M50=TRUE,ABS(IF(M23&lt;&gt;"",M23,M22)-M51),"")</f>
        <v/>
      </c>
      <c r="N52" s="483">
        <f t="shared" si="19"/>
        <v>6.5568393094289705</v>
      </c>
      <c r="O52" s="483" t="str">
        <f>IF(O50=TRUE,ABS(IF(O23&lt;&gt;"",O23,O22)-O51),"")</f>
        <v/>
      </c>
      <c r="P52" s="483" t="str">
        <f t="shared" si="19"/>
        <v/>
      </c>
      <c r="Q52" s="484" t="str">
        <f t="shared" si="19"/>
        <v/>
      </c>
      <c r="R52" s="483">
        <f t="shared" si="19"/>
        <v>3.2</v>
      </c>
      <c r="S52" s="483" t="str">
        <f t="shared" si="19"/>
        <v/>
      </c>
      <c r="T52" s="483" t="str">
        <f t="shared" si="19"/>
        <v/>
      </c>
      <c r="U52" s="483" t="str">
        <f t="shared" si="19"/>
        <v/>
      </c>
      <c r="V52" s="483" t="str">
        <f t="shared" si="19"/>
        <v/>
      </c>
      <c r="W52" s="483" t="str">
        <f t="shared" si="19"/>
        <v/>
      </c>
      <c r="X52" s="483">
        <f t="shared" si="19"/>
        <v>4.0999999999999943</v>
      </c>
      <c r="Y52" s="483" t="str">
        <f t="shared" si="19"/>
        <v/>
      </c>
      <c r="Z52" s="483" t="str">
        <f t="shared" si="19"/>
        <v/>
      </c>
      <c r="AA52" s="483" t="str">
        <f t="shared" si="19"/>
        <v/>
      </c>
      <c r="AB52" s="483" t="str">
        <f t="shared" si="19"/>
        <v/>
      </c>
      <c r="AC52" s="483">
        <f t="shared" si="19"/>
        <v>18.899999999999999</v>
      </c>
      <c r="AD52" s="483">
        <f t="shared" si="19"/>
        <v>33.000000000000007</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f t="shared" si="19"/>
        <v>0.48000000000000398</v>
      </c>
      <c r="AP52" s="483" t="str">
        <f t="shared" si="19"/>
        <v/>
      </c>
      <c r="AQ52" s="483" t="str">
        <f t="shared" si="19"/>
        <v/>
      </c>
      <c r="AR52" s="483" t="str">
        <f t="shared" si="19"/>
        <v/>
      </c>
      <c r="AS52" s="483">
        <f t="shared" si="19"/>
        <v>2.960000000000008</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1235</v>
      </c>
      <c r="F56" s="444"/>
      <c r="G56" s="444" t="s">
        <v>1073</v>
      </c>
      <c r="H56" s="444"/>
      <c r="I56" s="444"/>
      <c r="J56" s="591">
        <f>IF(AND(J55=TRUE,J50=TRUE),J52*24*60,J52)</f>
        <v>1.4100000000000001</v>
      </c>
      <c r="K56" s="594">
        <f>IF(AND(K55=TRUE,K50=TRUE),K52*24*60,K52)</f>
        <v>1.1666666666666659</v>
      </c>
      <c r="L56" s="591" t="str">
        <f t="shared" ref="L56:BS56" si="20">IF(AND(L55=TRUE,L50=TRUE),L52*24*60,L52)</f>
        <v/>
      </c>
      <c r="M56" s="591" t="str">
        <f>IF(AND(M55=TRUE,M50=TRUE),M52*24*60,M52)</f>
        <v/>
      </c>
      <c r="N56" s="591">
        <f t="shared" si="20"/>
        <v>6.5568393094289705</v>
      </c>
      <c r="O56" s="591" t="str">
        <f>IF(AND(O55=TRUE,O50=TRUE),O52*24*60,O52)</f>
        <v/>
      </c>
      <c r="P56" s="591" t="str">
        <f t="shared" si="20"/>
        <v/>
      </c>
      <c r="Q56" s="592" t="str">
        <f t="shared" si="20"/>
        <v/>
      </c>
      <c r="R56" s="591">
        <f t="shared" si="20"/>
        <v>3.2</v>
      </c>
      <c r="S56" s="591" t="str">
        <f t="shared" si="20"/>
        <v/>
      </c>
      <c r="T56" s="591" t="str">
        <f t="shared" si="20"/>
        <v/>
      </c>
      <c r="U56" s="591" t="str">
        <f t="shared" si="20"/>
        <v/>
      </c>
      <c r="V56" s="591" t="str">
        <f t="shared" si="20"/>
        <v/>
      </c>
      <c r="W56" s="591" t="str">
        <f t="shared" si="20"/>
        <v/>
      </c>
      <c r="X56" s="591">
        <f t="shared" si="20"/>
        <v>4.0999999999999943</v>
      </c>
      <c r="Y56" s="591" t="str">
        <f t="shared" si="20"/>
        <v/>
      </c>
      <c r="Z56" s="591" t="str">
        <f t="shared" si="20"/>
        <v/>
      </c>
      <c r="AA56" s="591" t="str">
        <f t="shared" si="20"/>
        <v/>
      </c>
      <c r="AB56" s="591" t="str">
        <f t="shared" si="20"/>
        <v/>
      </c>
      <c r="AC56" s="591">
        <f t="shared" si="20"/>
        <v>18.899999999999999</v>
      </c>
      <c r="AD56" s="591">
        <f t="shared" si="20"/>
        <v>33.000000000000007</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f t="shared" si="20"/>
        <v>0.48000000000000398</v>
      </c>
      <c r="AP56" s="591" t="str">
        <f t="shared" si="20"/>
        <v/>
      </c>
      <c r="AQ56" s="591" t="str">
        <f t="shared" si="20"/>
        <v/>
      </c>
      <c r="AR56" s="591" t="str">
        <f t="shared" si="20"/>
        <v/>
      </c>
      <c r="AS56" s="591">
        <f t="shared" si="20"/>
        <v>2.960000000000008</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134.80000000000001</v>
      </c>
      <c r="M58" s="579">
        <f>IF(InpPerformance!M$8&lt;&gt;"",ROUND(InpPerformance!M$8,1),"")</f>
        <v>65.2</v>
      </c>
      <c r="N58" s="579">
        <f>IF(InpPerformance!N$8&lt;&gt;"",ROUND(InpPerformance!N$8,1),"")</f>
        <v>150.6</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1236</v>
      </c>
      <c r="F59" s="444"/>
      <c r="G59" s="444" t="s">
        <v>1073</v>
      </c>
      <c r="H59" s="444"/>
      <c r="I59" s="444"/>
      <c r="J59" s="591">
        <f>IF(AND(J57=TRUE,J50=TRUE),ROUND((J56/100)*J58,1),J56)</f>
        <v>1.4100000000000001</v>
      </c>
      <c r="K59" s="595">
        <f t="shared" ref="K59:BS59" si="21">IF(AND(K57=TRUE,K50=TRUE),ROUND((K56/100)*K58,1),K56)</f>
        <v>1.1666666666666659</v>
      </c>
      <c r="L59" s="591" t="str">
        <f>IF(AND(L57=TRUE,L50=TRUE),ROUND((L56/100)*L58,1),L56)</f>
        <v/>
      </c>
      <c r="M59" s="591" t="str">
        <f>IF(AND(M57=TRUE,M50=TRUE),ROUND((M56/100)*M58,1),M56)</f>
        <v/>
      </c>
      <c r="N59" s="591">
        <f t="shared" si="21"/>
        <v>9.9</v>
      </c>
      <c r="O59" s="591" t="str">
        <f>IF(AND(O57=TRUE,O50=TRUE),ROUND((O56/100)*O58,1),O56)</f>
        <v/>
      </c>
      <c r="P59" s="591" t="str">
        <f t="shared" si="21"/>
        <v/>
      </c>
      <c r="Q59" s="592" t="str">
        <f t="shared" si="21"/>
        <v/>
      </c>
      <c r="R59" s="591">
        <f t="shared" si="21"/>
        <v>3.2</v>
      </c>
      <c r="S59" s="591" t="str">
        <f t="shared" si="21"/>
        <v/>
      </c>
      <c r="T59" s="591" t="str">
        <f t="shared" si="21"/>
        <v/>
      </c>
      <c r="U59" s="591" t="str">
        <f t="shared" si="21"/>
        <v/>
      </c>
      <c r="V59" s="591" t="str">
        <f t="shared" si="21"/>
        <v/>
      </c>
      <c r="W59" s="591" t="str">
        <f t="shared" si="21"/>
        <v/>
      </c>
      <c r="X59" s="591">
        <f t="shared" si="21"/>
        <v>4.0999999999999943</v>
      </c>
      <c r="Y59" s="591" t="str">
        <f t="shared" si="21"/>
        <v/>
      </c>
      <c r="Z59" s="591" t="str">
        <f t="shared" si="21"/>
        <v/>
      </c>
      <c r="AA59" s="591" t="str">
        <f t="shared" si="21"/>
        <v/>
      </c>
      <c r="AB59" s="591" t="str">
        <f t="shared" si="21"/>
        <v/>
      </c>
      <c r="AC59" s="591">
        <f t="shared" si="21"/>
        <v>18.899999999999999</v>
      </c>
      <c r="AD59" s="591">
        <f t="shared" si="21"/>
        <v>33.000000000000007</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f t="shared" si="21"/>
        <v>0.48000000000000398</v>
      </c>
      <c r="AP59" s="591" t="str">
        <f t="shared" si="21"/>
        <v/>
      </c>
      <c r="AQ59" s="591" t="str">
        <f t="shared" si="21"/>
        <v/>
      </c>
      <c r="AR59" s="591" t="str">
        <f t="shared" si="21"/>
        <v/>
      </c>
      <c r="AS59" s="591">
        <f t="shared" si="21"/>
        <v>2.960000000000008</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-1.3939999999999999</v>
      </c>
      <c r="K62" s="587">
        <f>InpPerformance!K50</f>
        <v>-1.028</v>
      </c>
      <c r="L62" s="587">
        <f>InpPerformance!L50</f>
        <v>-0.17499999999999999</v>
      </c>
      <c r="M62" s="587">
        <f>InpPerformance!M50</f>
        <v>-0.18</v>
      </c>
      <c r="N62" s="587">
        <f>InpPerformance!N50</f>
        <v>-0.19800000000000001</v>
      </c>
      <c r="O62" s="587" t="str">
        <f>InpPerformance!O50</f>
        <v/>
      </c>
      <c r="P62" s="587">
        <f>InpPerformance!P50</f>
        <v>-0.14899999999999999</v>
      </c>
      <c r="Q62" s="588">
        <f>InpPerformance!Q50</f>
        <v>-1.72</v>
      </c>
      <c r="R62" s="587">
        <f>InpPerformance!R50</f>
        <v>-0.42799999999999999</v>
      </c>
      <c r="S62" s="587">
        <f>InpPerformance!S50</f>
        <v>-2.665</v>
      </c>
      <c r="T62" s="587">
        <f>InpPerformance!T50</f>
        <v>-3.31E-3</v>
      </c>
      <c r="U62" s="587">
        <f>InpPerformance!U50</f>
        <v>-1.054</v>
      </c>
      <c r="V62" s="587">
        <f>InpPerformance!V50</f>
        <v>-1.054</v>
      </c>
      <c r="W62" s="587">
        <f>InpPerformance!W50</f>
        <v>-2E-3</v>
      </c>
      <c r="X62" s="587">
        <f>InpPerformance!X50</f>
        <v>-1.119</v>
      </c>
      <c r="Y62" s="587">
        <f>InpPerformance!Y50</f>
        <v>-3.4999999999999997E-5</v>
      </c>
      <c r="Z62" s="587">
        <f>InpPerformance!Z50</f>
        <v>-1.189E-2</v>
      </c>
      <c r="AA62" s="587">
        <f>InpPerformance!AA50</f>
        <v>-1.8699999999999999E-4</v>
      </c>
      <c r="AB62" s="587">
        <f>InpPerformance!AB50</f>
        <v>-0.36899999999999999</v>
      </c>
      <c r="AC62" s="587">
        <f>InpPerformance!AC50</f>
        <v>-4.6199999999999998E-2</v>
      </c>
      <c r="AD62" s="587">
        <f>InpPerformance!AD50</f>
        <v>-0.19400000000000001</v>
      </c>
      <c r="AE62" s="587">
        <f>InpPerformance!AE50</f>
        <v>-7.3000000000000001E-3</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-2.5230000000000001</v>
      </c>
      <c r="AM62" s="587">
        <f>InpPerformance!AM50</f>
        <v>-0.36499999999999999</v>
      </c>
      <c r="AN62" s="587">
        <f>InpPerformance!AN50</f>
        <v>-0.32200000000000001</v>
      </c>
      <c r="AO62" s="588">
        <f>InpPerformance!AO50</f>
        <v>-0.59699999999999998</v>
      </c>
      <c r="AP62" s="587">
        <f>InpPerformance!AP50</f>
        <v>-1.4430000000000001E-3</v>
      </c>
      <c r="AQ62" s="587">
        <f>InpPerformance!AQ50</f>
        <v>-6.2700000000000004E-3</v>
      </c>
      <c r="AR62" s="587">
        <f>InpPerformance!AR50</f>
        <v>-5.5100000000000003E-2</v>
      </c>
      <c r="AS62" s="587">
        <f>InpPerformance!AS50</f>
        <v>-0.249</v>
      </c>
      <c r="AT62" s="587">
        <f>InpPerformance!AT50</f>
        <v>-0.127</v>
      </c>
      <c r="AU62" s="587">
        <f>InpPerformance!AU50</f>
        <v>-1.83E-2</v>
      </c>
      <c r="AV62" s="587">
        <f>InpPerformance!AV50</f>
        <v>-2.7400000000000001E-2</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1246</v>
      </c>
      <c r="F63" s="444"/>
      <c r="G63" s="593" t="str">
        <f>InpCompany!$F$11</f>
        <v>£m (2017-18 prices)</v>
      </c>
      <c r="H63" s="444"/>
      <c r="I63" s="444"/>
      <c r="J63" s="567">
        <f>IF(J50=TRUE,J59*J62,0)</f>
        <v>-1.9655400000000001</v>
      </c>
      <c r="K63" s="567">
        <f t="shared" ref="K63:BS63" si="22">IF(K50=TRUE,K59*K62,0)</f>
        <v>-1.1993333333333325</v>
      </c>
      <c r="L63" s="567">
        <f t="shared" si="22"/>
        <v>0</v>
      </c>
      <c r="M63" s="567">
        <f>IF(M50=TRUE,M59*M62,0)</f>
        <v>0</v>
      </c>
      <c r="N63" s="567">
        <f t="shared" si="22"/>
        <v>-1.9602000000000002</v>
      </c>
      <c r="O63" s="567">
        <f>IF(O50=TRUE,O59*O62,0)</f>
        <v>0</v>
      </c>
      <c r="P63" s="567">
        <f t="shared" si="22"/>
        <v>0</v>
      </c>
      <c r="Q63" s="568">
        <f t="shared" si="22"/>
        <v>0</v>
      </c>
      <c r="R63" s="567">
        <f t="shared" si="22"/>
        <v>-1.3696000000000002</v>
      </c>
      <c r="S63" s="567">
        <f t="shared" si="22"/>
        <v>0</v>
      </c>
      <c r="T63" s="567">
        <f t="shared" si="22"/>
        <v>0</v>
      </c>
      <c r="U63" s="567">
        <f t="shared" si="22"/>
        <v>0</v>
      </c>
      <c r="V63" s="567">
        <f t="shared" si="22"/>
        <v>0</v>
      </c>
      <c r="W63" s="567">
        <f t="shared" si="22"/>
        <v>0</v>
      </c>
      <c r="X63" s="567">
        <f t="shared" si="22"/>
        <v>-4.5878999999999932</v>
      </c>
      <c r="Y63" s="567">
        <f t="shared" si="22"/>
        <v>0</v>
      </c>
      <c r="Z63" s="567">
        <f t="shared" si="22"/>
        <v>0</v>
      </c>
      <c r="AA63" s="567">
        <f t="shared" si="22"/>
        <v>0</v>
      </c>
      <c r="AB63" s="567">
        <f t="shared" si="22"/>
        <v>0</v>
      </c>
      <c r="AC63" s="567">
        <f t="shared" si="22"/>
        <v>-0.87317999999999985</v>
      </c>
      <c r="AD63" s="567">
        <f t="shared" si="22"/>
        <v>-6.4020000000000019</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-0.28656000000000237</v>
      </c>
      <c r="AP63" s="567">
        <f t="shared" si="22"/>
        <v>0</v>
      </c>
      <c r="AQ63" s="567">
        <f t="shared" si="22"/>
        <v>0</v>
      </c>
      <c r="AR63" s="567">
        <f t="shared" si="22"/>
        <v>0</v>
      </c>
      <c r="AS63" s="567">
        <f t="shared" si="22"/>
        <v>-0.73704000000000203</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1.4351851851851854E-3</v>
      </c>
      <c r="L70" s="579" t="str">
        <f>IF(InpPerformance!L$43&lt;&gt;"",InpPerformance!L$43,"")</f>
        <v>*</v>
      </c>
      <c r="M70" s="579" t="str">
        <f>IF(InpPerformance!M$43&lt;&gt;"",InpPerformance!M$43,"")</f>
        <v>*</v>
      </c>
      <c r="N70" s="579" t="str">
        <f>IF(InpPerformance!N$43&lt;&gt;"",InpPerformance!N$43,"")</f>
        <v/>
      </c>
      <c r="O70" s="579" t="str">
        <f>IF(InpPerformance!O$43&lt;&gt;"",InpPerformance!O$43,"")</f>
        <v/>
      </c>
      <c r="P70" s="579">
        <f>IF(InpPerformance!P$43&lt;&gt;"",InpPerformance!P$43,"")</f>
        <v>114.3</v>
      </c>
      <c r="Q70" s="581" t="str">
        <f>IF(InpPerformance!Q$43&lt;&gt;"",InpPerformance!Q$43,"")</f>
        <v/>
      </c>
      <c r="R70" s="579" t="str">
        <f>IF(InpPerformance!R$43&lt;&gt;"",InpPerformance!R$43,"")</f>
        <v/>
      </c>
      <c r="S70" s="579">
        <f>IF(InpPerformance!S$43&lt;&gt;"",InpPerformance!S$43,"")</f>
        <v>3.75</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1.17</v>
      </c>
      <c r="AM70" s="579">
        <f>IF(InpPerformance!AM$43&lt;&gt;"",InpPerformance!AM$43,"")</f>
        <v>10.82</v>
      </c>
      <c r="AN70" s="579" t="str">
        <f>IF(InpPerformance!AN$43&lt;&gt;"",InpPerformance!AN$43,"")</f>
        <v/>
      </c>
      <c r="AO70" s="581" t="str">
        <f>IF(InpPerformance!AO$43&lt;&gt;"",InpPerformance!AO$43,"")</f>
        <v/>
      </c>
      <c r="AP70" s="579" t="str">
        <f>IF(InpPerformance!AP$43&lt;&gt;"",InpPerformance!AP$43,"")</f>
        <v/>
      </c>
      <c r="AQ70" s="579">
        <f>IF(InpPerformance!AQ$43&lt;&gt;"",InpPerformance!AQ$43,"")</f>
        <v>2487</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2.9660000000000002</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f>IF(InpPerformance!AM59&lt;&gt;"",InpPerformance!AM59,"")</f>
        <v>0.874</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2.91</v>
      </c>
      <c r="K73" s="601">
        <f t="shared" ref="K73:BS73" si="24">K$17</f>
        <v>4.5486111111111109E-3</v>
      </c>
      <c r="L73" s="601">
        <f t="shared" si="24"/>
        <v>9.0504451038575731</v>
      </c>
      <c r="M73" s="601">
        <f t="shared" si="24"/>
        <v>12.576687116564422</v>
      </c>
      <c r="N73" s="601">
        <f t="shared" si="24"/>
        <v>-2.4568393094289709</v>
      </c>
      <c r="O73" s="601" t="str">
        <f t="shared" si="24"/>
        <v/>
      </c>
      <c r="P73" s="601">
        <f t="shared" si="24"/>
        <v>127.9</v>
      </c>
      <c r="Q73" s="602">
        <f t="shared" si="24"/>
        <v>3</v>
      </c>
      <c r="R73" s="601">
        <f t="shared" si="24"/>
        <v>7.2</v>
      </c>
      <c r="S73" s="601">
        <f t="shared" si="24"/>
        <v>3.5</v>
      </c>
      <c r="T73" s="601">
        <f t="shared" si="24"/>
        <v>150</v>
      </c>
      <c r="U73" s="601">
        <f t="shared" si="24"/>
        <v>7.42</v>
      </c>
      <c r="V73" s="601">
        <f t="shared" si="24"/>
        <v>1.74</v>
      </c>
      <c r="W73" s="601">
        <f t="shared" si="24"/>
        <v>14.071</v>
      </c>
      <c r="X73" s="601">
        <f t="shared" si="24"/>
        <v>96.6</v>
      </c>
      <c r="Y73" s="601">
        <f t="shared" si="24"/>
        <v>0</v>
      </c>
      <c r="Z73" s="601">
        <f t="shared" si="24"/>
        <v>58</v>
      </c>
      <c r="AA73" s="601">
        <f t="shared" si="24"/>
        <v>15627</v>
      </c>
      <c r="AB73" s="601">
        <f t="shared" si="24"/>
        <v>59.3</v>
      </c>
      <c r="AC73" s="601">
        <f t="shared" si="24"/>
        <v>59.9</v>
      </c>
      <c r="AD73" s="601">
        <f t="shared" si="24"/>
        <v>47.4</v>
      </c>
      <c r="AE73" s="601">
        <f t="shared" si="24"/>
        <v>73.400000000000006</v>
      </c>
      <c r="AF73" s="601" t="str">
        <f t="shared" si="24"/>
        <v/>
      </c>
      <c r="AG73" s="601" t="str">
        <f t="shared" si="24"/>
        <v/>
      </c>
      <c r="AH73" s="601" t="str">
        <f t="shared" si="24"/>
        <v/>
      </c>
      <c r="AI73" s="601" t="str">
        <f t="shared" si="24"/>
        <v/>
      </c>
      <c r="AJ73" s="601" t="str">
        <f t="shared" si="24"/>
        <v/>
      </c>
      <c r="AK73" s="602" t="str">
        <f t="shared" si="24"/>
        <v/>
      </c>
      <c r="AL73" s="601">
        <f t="shared" si="24"/>
        <v>1.23</v>
      </c>
      <c r="AM73" s="601">
        <f t="shared" si="24"/>
        <v>22.31</v>
      </c>
      <c r="AN73" s="601">
        <f t="shared" si="24"/>
        <v>8.7899999999999991</v>
      </c>
      <c r="AO73" s="602">
        <f t="shared" si="24"/>
        <v>98.52</v>
      </c>
      <c r="AP73" s="601">
        <f t="shared" si="24"/>
        <v>10500</v>
      </c>
      <c r="AQ73" s="601">
        <f t="shared" si="24"/>
        <v>2824</v>
      </c>
      <c r="AR73" s="601">
        <f t="shared" si="24"/>
        <v>27</v>
      </c>
      <c r="AS73" s="601">
        <f t="shared" si="24"/>
        <v>94.1</v>
      </c>
      <c r="AT73" s="601">
        <f t="shared" si="24"/>
        <v>132</v>
      </c>
      <c r="AU73" s="601">
        <f t="shared" si="24"/>
        <v>535</v>
      </c>
      <c r="AV73" s="601">
        <f t="shared" si="24"/>
        <v>0</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2147.9270000000001</v>
      </c>
      <c r="K79" s="579">
        <f>InpCompany!$F17</f>
        <v>2147.9270000000001</v>
      </c>
      <c r="L79" s="579">
        <f>InpCompany!$F17</f>
        <v>2147.9270000000001</v>
      </c>
      <c r="M79" s="579">
        <f>InpCompany!$F17</f>
        <v>2147.9270000000001</v>
      </c>
      <c r="N79" s="579">
        <f>InpCompany!$F17</f>
        <v>2147.9270000000001</v>
      </c>
      <c r="O79" s="579">
        <f>InpCompany!$F17</f>
        <v>2147.9270000000001</v>
      </c>
      <c r="P79" s="579">
        <f>InpCompany!$F17</f>
        <v>2147.9270000000001</v>
      </c>
      <c r="Q79" s="581">
        <f>InpCompany!$F17</f>
        <v>2147.9270000000001</v>
      </c>
      <c r="R79" s="579">
        <f>InpCompany!$F17</f>
        <v>2147.9270000000001</v>
      </c>
      <c r="S79" s="579">
        <f>InpCompany!$F17</f>
        <v>2147.9270000000001</v>
      </c>
      <c r="T79" s="579">
        <f>InpCompany!$F17</f>
        <v>2147.9270000000001</v>
      </c>
      <c r="U79" s="579">
        <f>InpCompany!$F17</f>
        <v>2147.9270000000001</v>
      </c>
      <c r="V79" s="579">
        <f>InpCompany!$F17</f>
        <v>2147.9270000000001</v>
      </c>
      <c r="W79" s="579">
        <f>InpCompany!$F17</f>
        <v>2147.9270000000001</v>
      </c>
      <c r="X79" s="579">
        <f>InpCompany!$F17</f>
        <v>2147.9270000000001</v>
      </c>
      <c r="Y79" s="579">
        <f>InpCompany!$F17</f>
        <v>2147.9270000000001</v>
      </c>
      <c r="Z79" s="579">
        <f>InpCompany!$F17</f>
        <v>2147.9270000000001</v>
      </c>
      <c r="AA79" s="579">
        <f>InpCompany!$F17</f>
        <v>2147.9270000000001</v>
      </c>
      <c r="AB79" s="579">
        <f>InpCompany!$F17</f>
        <v>2147.9270000000001</v>
      </c>
      <c r="AC79" s="579">
        <f>InpCompany!$F17</f>
        <v>2147.9270000000001</v>
      </c>
      <c r="AD79" s="579">
        <f>InpCompany!$F17</f>
        <v>2147.9270000000001</v>
      </c>
      <c r="AE79" s="579">
        <f>InpCompany!$F17</f>
        <v>2147.9270000000001</v>
      </c>
      <c r="AF79" s="579">
        <f>InpCompany!$F17</f>
        <v>2147.9270000000001</v>
      </c>
      <c r="AG79" s="579">
        <f>InpCompany!$F17</f>
        <v>2147.9270000000001</v>
      </c>
      <c r="AH79" s="579">
        <f>InpCompany!$F17</f>
        <v>2147.9270000000001</v>
      </c>
      <c r="AI79" s="579">
        <f>InpCompany!$F17</f>
        <v>2147.9270000000001</v>
      </c>
      <c r="AJ79" s="579">
        <f>InpCompany!$F17</f>
        <v>2147.9270000000001</v>
      </c>
      <c r="AK79" s="581">
        <f>InpCompany!$F17</f>
        <v>2147.9270000000001</v>
      </c>
      <c r="AL79" s="579">
        <f>InpCompany!$F17</f>
        <v>2147.9270000000001</v>
      </c>
      <c r="AM79" s="579">
        <f>InpCompany!$F17</f>
        <v>2147.9270000000001</v>
      </c>
      <c r="AN79" s="579">
        <f>InpCompany!$F17</f>
        <v>2147.9270000000001</v>
      </c>
      <c r="AO79" s="581">
        <f>InpCompany!$F17</f>
        <v>2147.9270000000001</v>
      </c>
      <c r="AP79" s="579">
        <f>InpCompany!$F17</f>
        <v>2147.9270000000001</v>
      </c>
      <c r="AQ79" s="579">
        <f>InpCompany!$F17</f>
        <v>2147.9270000000001</v>
      </c>
      <c r="AR79" s="579">
        <f>InpCompany!$F17</f>
        <v>2147.9270000000001</v>
      </c>
      <c r="AS79" s="579">
        <f>InpCompany!$F17</f>
        <v>2147.9270000000001</v>
      </c>
      <c r="AT79" s="579">
        <f>InpCompany!$F17</f>
        <v>2147.9270000000001</v>
      </c>
      <c r="AU79" s="579">
        <f>InpCompany!$F17</f>
        <v>2147.9270000000001</v>
      </c>
      <c r="AV79" s="579">
        <f>InpCompany!$F17</f>
        <v>2147.9270000000001</v>
      </c>
      <c r="AW79" s="579">
        <f>InpCompany!$F17</f>
        <v>2147.9270000000001</v>
      </c>
      <c r="AX79" s="579">
        <f>InpCompany!$F17</f>
        <v>2147.9270000000001</v>
      </c>
      <c r="AY79" s="579">
        <f>InpCompany!$F17</f>
        <v>2147.9270000000001</v>
      </c>
      <c r="AZ79" s="579">
        <f>InpCompany!$F17</f>
        <v>2147.9270000000001</v>
      </c>
      <c r="BA79" s="579">
        <f>InpCompany!$F17</f>
        <v>2147.9270000000001</v>
      </c>
      <c r="BB79" s="579">
        <f>InpCompany!$F17</f>
        <v>2147.9270000000001</v>
      </c>
      <c r="BC79" s="581">
        <f>InpCompany!$F17</f>
        <v>2147.9270000000001</v>
      </c>
      <c r="BD79" s="579">
        <f>InpCompany!$F17</f>
        <v>2147.9270000000001</v>
      </c>
      <c r="BE79" s="579">
        <f>InpCompany!$F17</f>
        <v>2147.9270000000001</v>
      </c>
      <c r="BF79" s="579">
        <f>InpCompany!$F17</f>
        <v>2147.9270000000001</v>
      </c>
      <c r="BG79" s="579">
        <f>InpCompany!$F17</f>
        <v>2147.9270000000001</v>
      </c>
      <c r="BH79" s="579">
        <f>InpCompany!$F17</f>
        <v>2147.9270000000001</v>
      </c>
      <c r="BI79" s="579">
        <f>InpCompany!$F17</f>
        <v>2147.9270000000001</v>
      </c>
      <c r="BJ79" s="579">
        <f>InpCompany!$F17</f>
        <v>2147.9270000000001</v>
      </c>
      <c r="BK79" s="579">
        <f>InpCompany!$F17</f>
        <v>2147.9270000000001</v>
      </c>
      <c r="BL79" s="579">
        <f>InpCompany!$F17</f>
        <v>2147.9270000000001</v>
      </c>
      <c r="BM79" s="579">
        <f>InpCompany!$F17</f>
        <v>2147.9270000000001</v>
      </c>
      <c r="BN79" s="579">
        <f>InpCompany!$F17</f>
        <v>2147.9270000000001</v>
      </c>
      <c r="BO79" s="579">
        <f>InpCompany!$F17</f>
        <v>2147.9270000000001</v>
      </c>
      <c r="BP79" s="579">
        <f>InpCompany!$F17</f>
        <v>2147.9270000000001</v>
      </c>
      <c r="BQ79" s="579">
        <f>InpCompany!$F17</f>
        <v>2147.9270000000001</v>
      </c>
      <c r="BR79" s="579">
        <f>InpCompany!$F17</f>
        <v>2147.9270000000001</v>
      </c>
      <c r="BS79" s="579">
        <f>InpCompany!$F17</f>
        <v>2147.9270000000001</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2104.9549999999999</v>
      </c>
      <c r="K80" s="579">
        <f>InpCompany!$F21</f>
        <v>2104.9549999999999</v>
      </c>
      <c r="L80" s="579">
        <f>InpCompany!$F21</f>
        <v>2104.9549999999999</v>
      </c>
      <c r="M80" s="579">
        <f>InpCompany!$F21</f>
        <v>2104.9549999999999</v>
      </c>
      <c r="N80" s="579">
        <f>InpCompany!$F21</f>
        <v>2104.9549999999999</v>
      </c>
      <c r="O80" s="579">
        <f>InpCompany!$F21</f>
        <v>2104.9549999999999</v>
      </c>
      <c r="P80" s="579">
        <f>InpCompany!$F21</f>
        <v>2104.9549999999999</v>
      </c>
      <c r="Q80" s="581">
        <f>InpCompany!$F21</f>
        <v>2104.9549999999999</v>
      </c>
      <c r="R80" s="579">
        <f>InpCompany!$F21</f>
        <v>2104.9549999999999</v>
      </c>
      <c r="S80" s="579">
        <f>InpCompany!$F21</f>
        <v>2104.9549999999999</v>
      </c>
      <c r="T80" s="579">
        <f>InpCompany!$F21</f>
        <v>2104.9549999999999</v>
      </c>
      <c r="U80" s="579">
        <f>InpCompany!$F21</f>
        <v>2104.9549999999999</v>
      </c>
      <c r="V80" s="579">
        <f>InpCompany!$F21</f>
        <v>2104.9549999999999</v>
      </c>
      <c r="W80" s="579">
        <f>InpCompany!$F21</f>
        <v>2104.9549999999999</v>
      </c>
      <c r="X80" s="579">
        <f>InpCompany!$F21</f>
        <v>2104.9549999999999</v>
      </c>
      <c r="Y80" s="579">
        <f>InpCompany!$F21</f>
        <v>2104.9549999999999</v>
      </c>
      <c r="Z80" s="579">
        <f>InpCompany!$F21</f>
        <v>2104.9549999999999</v>
      </c>
      <c r="AA80" s="579">
        <f>InpCompany!$F21</f>
        <v>2104.9549999999999</v>
      </c>
      <c r="AB80" s="579">
        <f>InpCompany!$F21</f>
        <v>2104.9549999999999</v>
      </c>
      <c r="AC80" s="579">
        <f>InpCompany!$F21</f>
        <v>2104.9549999999999</v>
      </c>
      <c r="AD80" s="579">
        <f>InpCompany!$F21</f>
        <v>2104.9549999999999</v>
      </c>
      <c r="AE80" s="579">
        <f>InpCompany!$F21</f>
        <v>2104.9549999999999</v>
      </c>
      <c r="AF80" s="579">
        <f>InpCompany!$F21</f>
        <v>2104.9549999999999</v>
      </c>
      <c r="AG80" s="579">
        <f>InpCompany!$F21</f>
        <v>2104.9549999999999</v>
      </c>
      <c r="AH80" s="579">
        <f>InpCompany!$F21</f>
        <v>2104.9549999999999</v>
      </c>
      <c r="AI80" s="579">
        <f>InpCompany!$F21</f>
        <v>2104.9549999999999</v>
      </c>
      <c r="AJ80" s="579">
        <f>InpCompany!$F21</f>
        <v>2104.9549999999999</v>
      </c>
      <c r="AK80" s="581">
        <f>InpCompany!$F21</f>
        <v>2104.9549999999999</v>
      </c>
      <c r="AL80" s="579">
        <f>InpCompany!$F21</f>
        <v>2104.9549999999999</v>
      </c>
      <c r="AM80" s="579">
        <f>InpCompany!$F21</f>
        <v>2104.9549999999999</v>
      </c>
      <c r="AN80" s="579">
        <f>InpCompany!$F21</f>
        <v>2104.9549999999999</v>
      </c>
      <c r="AO80" s="581">
        <f>InpCompany!$F21</f>
        <v>2104.9549999999999</v>
      </c>
      <c r="AP80" s="579">
        <f>InpCompany!$F21</f>
        <v>2104.9549999999999</v>
      </c>
      <c r="AQ80" s="579">
        <f>InpCompany!$F21</f>
        <v>2104.9549999999999</v>
      </c>
      <c r="AR80" s="579">
        <f>InpCompany!$F21</f>
        <v>2104.9549999999999</v>
      </c>
      <c r="AS80" s="579">
        <f>InpCompany!$F21</f>
        <v>2104.9549999999999</v>
      </c>
      <c r="AT80" s="579">
        <f>InpCompany!$F21</f>
        <v>2104.9549999999999</v>
      </c>
      <c r="AU80" s="579">
        <f>InpCompany!$F21</f>
        <v>2104.9549999999999</v>
      </c>
      <c r="AV80" s="579">
        <f>InpCompany!$F21</f>
        <v>2104.9549999999999</v>
      </c>
      <c r="AW80" s="579">
        <f>InpCompany!$F21</f>
        <v>2104.9549999999999</v>
      </c>
      <c r="AX80" s="579">
        <f>InpCompany!$F21</f>
        <v>2104.9549999999999</v>
      </c>
      <c r="AY80" s="579">
        <f>InpCompany!$F21</f>
        <v>2104.9549999999999</v>
      </c>
      <c r="AZ80" s="579">
        <f>InpCompany!$F21</f>
        <v>2104.9549999999999</v>
      </c>
      <c r="BA80" s="579">
        <f>InpCompany!$F21</f>
        <v>2104.9549999999999</v>
      </c>
      <c r="BB80" s="579">
        <f>InpCompany!$F21</f>
        <v>2104.9549999999999</v>
      </c>
      <c r="BC80" s="581">
        <f>InpCompany!$F21</f>
        <v>2104.9549999999999</v>
      </c>
      <c r="BD80" s="579">
        <f>InpCompany!$F21</f>
        <v>2104.9549999999999</v>
      </c>
      <c r="BE80" s="579">
        <f>InpCompany!$F21</f>
        <v>2104.9549999999999</v>
      </c>
      <c r="BF80" s="579">
        <f>InpCompany!$F21</f>
        <v>2104.9549999999999</v>
      </c>
      <c r="BG80" s="579">
        <f>InpCompany!$F21</f>
        <v>2104.9549999999999</v>
      </c>
      <c r="BH80" s="579">
        <f>InpCompany!$F21</f>
        <v>2104.9549999999999</v>
      </c>
      <c r="BI80" s="579">
        <f>InpCompany!$F21</f>
        <v>2104.9549999999999</v>
      </c>
      <c r="BJ80" s="579">
        <f>InpCompany!$F21</f>
        <v>2104.9549999999999</v>
      </c>
      <c r="BK80" s="579">
        <f>InpCompany!$F21</f>
        <v>2104.9549999999999</v>
      </c>
      <c r="BL80" s="579">
        <f>InpCompany!$F21</f>
        <v>2104.9549999999999</v>
      </c>
      <c r="BM80" s="579">
        <f>InpCompany!$F21</f>
        <v>2104.9549999999999</v>
      </c>
      <c r="BN80" s="579">
        <f>InpCompany!$F21</f>
        <v>2104.9549999999999</v>
      </c>
      <c r="BO80" s="579">
        <f>InpCompany!$F21</f>
        <v>2104.9549999999999</v>
      </c>
      <c r="BP80" s="579">
        <f>InpCompany!$F21</f>
        <v>2104.9549999999999</v>
      </c>
      <c r="BQ80" s="579">
        <f>InpCompany!$F21</f>
        <v>2104.9549999999999</v>
      </c>
      <c r="BR80" s="579">
        <f>InpCompany!$F21</f>
        <v>2104.9549999999999</v>
      </c>
      <c r="BS80" s="579">
        <f>InpCompany!$F21</f>
        <v>2104.9549999999999</v>
      </c>
    </row>
    <row r="81" spans="1:71" s="201" customFormat="1" ht="13">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134.80000000000001</v>
      </c>
      <c r="M93" s="579">
        <f>IF(InpPerformance!M$8&lt;&gt;"",ROUND(InpPerformance!M$8,1),"")</f>
        <v>65.2</v>
      </c>
      <c r="N93" s="579">
        <f>IF(InpPerformance!N$8&lt;&gt;"",ROUND(InpPerformance!N$8,1),"")</f>
        <v>150.6</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2.91</v>
      </c>
      <c r="K97" s="483">
        <f t="shared" si="33"/>
        <v>4.5486111111111109E-3</v>
      </c>
      <c r="L97" s="483">
        <f t="shared" si="33"/>
        <v>9.0504451038575731</v>
      </c>
      <c r="M97" s="483">
        <f>M17</f>
        <v>12.576687116564422</v>
      </c>
      <c r="N97" s="483">
        <f t="shared" si="33"/>
        <v>-2.4568393094289709</v>
      </c>
      <c r="O97" s="483" t="str">
        <f>O17</f>
        <v/>
      </c>
      <c r="P97" s="483">
        <f t="shared" si="33"/>
        <v>127.9</v>
      </c>
      <c r="Q97" s="484">
        <f t="shared" si="33"/>
        <v>3</v>
      </c>
      <c r="R97" s="483">
        <f t="shared" si="33"/>
        <v>7.2</v>
      </c>
      <c r="S97" s="483">
        <f t="shared" si="33"/>
        <v>3.5</v>
      </c>
      <c r="T97" s="483">
        <f t="shared" si="33"/>
        <v>150</v>
      </c>
      <c r="U97" s="483">
        <f t="shared" si="33"/>
        <v>7.42</v>
      </c>
      <c r="V97" s="483">
        <f t="shared" si="33"/>
        <v>1.74</v>
      </c>
      <c r="W97" s="483">
        <f t="shared" si="33"/>
        <v>14.071</v>
      </c>
      <c r="X97" s="483">
        <f t="shared" si="33"/>
        <v>96.6</v>
      </c>
      <c r="Y97" s="483">
        <f t="shared" si="33"/>
        <v>0</v>
      </c>
      <c r="Z97" s="483">
        <f t="shared" si="33"/>
        <v>58</v>
      </c>
      <c r="AA97" s="483">
        <f t="shared" si="33"/>
        <v>15627</v>
      </c>
      <c r="AB97" s="483">
        <f t="shared" si="33"/>
        <v>59.3</v>
      </c>
      <c r="AC97" s="483">
        <f t="shared" si="33"/>
        <v>59.9</v>
      </c>
      <c r="AD97" s="483">
        <f t="shared" si="33"/>
        <v>47.4</v>
      </c>
      <c r="AE97" s="483">
        <f t="shared" si="33"/>
        <v>73.400000000000006</v>
      </c>
      <c r="AF97" s="483" t="str">
        <f t="shared" si="33"/>
        <v/>
      </c>
      <c r="AG97" s="483" t="str">
        <f t="shared" si="33"/>
        <v/>
      </c>
      <c r="AH97" s="483" t="str">
        <f t="shared" si="33"/>
        <v/>
      </c>
      <c r="AI97" s="483" t="str">
        <f t="shared" si="33"/>
        <v/>
      </c>
      <c r="AJ97" s="483" t="str">
        <f t="shared" si="33"/>
        <v/>
      </c>
      <c r="AK97" s="484" t="str">
        <f t="shared" si="33"/>
        <v/>
      </c>
      <c r="AL97" s="483">
        <f t="shared" si="33"/>
        <v>1.23</v>
      </c>
      <c r="AM97" s="483">
        <f t="shared" si="33"/>
        <v>22.31</v>
      </c>
      <c r="AN97" s="483">
        <f t="shared" si="33"/>
        <v>8.7899999999999991</v>
      </c>
      <c r="AO97" s="484">
        <f t="shared" si="33"/>
        <v>98.52</v>
      </c>
      <c r="AP97" s="483">
        <f t="shared" si="33"/>
        <v>10500</v>
      </c>
      <c r="AQ97" s="483">
        <f t="shared" si="33"/>
        <v>2824</v>
      </c>
      <c r="AR97" s="483">
        <f t="shared" si="33"/>
        <v>27</v>
      </c>
      <c r="AS97" s="483">
        <f t="shared" si="33"/>
        <v>94.1</v>
      </c>
      <c r="AT97" s="483">
        <f t="shared" si="33"/>
        <v>132</v>
      </c>
      <c r="AU97" s="483">
        <f t="shared" si="33"/>
        <v>535</v>
      </c>
      <c r="AV97" s="483">
        <f t="shared" si="33"/>
        <v>0</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134.80000000000001</v>
      </c>
      <c r="M106" s="579">
        <f>IF(InpPerformance!M$8&lt;&gt;"",ROUND(InpPerformance!M$8,1),"")</f>
        <v>65.2</v>
      </c>
      <c r="N106" s="579">
        <f>IF(InpPerformance!N$8&lt;&gt;"",ROUND(InpPerformance!N$8,1),"")</f>
        <v>150.6</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f t="shared" ref="K109:BS109" si="38">K71</f>
        <v>2.9660000000000002</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f t="shared" si="38"/>
        <v>0.874</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-38</v>
      </c>
      <c r="M114" s="579">
        <f>IF(InpPerformance!M$47&lt;&gt;"",InpPerformance!M$47,"")</f>
        <v>-77.3</v>
      </c>
      <c r="N114" s="579" t="str">
        <f>IF(InpPerformance!N$47&lt;&gt;"",InpPerformance!N$47,"")</f>
        <v/>
      </c>
      <c r="O114" s="579" t="str">
        <f>IF(InpPerformance!O$47&lt;&gt;"",InpPerformance!O$47,"")</f>
        <v/>
      </c>
      <c r="P114" s="579">
        <f>IF(InpPerformance!P$47&lt;&gt;"",InpPerformance!P$47,"")</f>
        <v>198.6</v>
      </c>
      <c r="Q114" s="581">
        <f>IF(InpPerformance!Q$47&lt;&gt;"",InpPerformance!Q$47,"")</f>
        <v>12.74</v>
      </c>
      <c r="R114" s="579" t="str">
        <f>IF(InpPerformance!R$47&lt;&gt;"",InpPerformance!R$47,"")</f>
        <v/>
      </c>
      <c r="S114" s="579">
        <f>IF(InpPerformance!S$47&lt;&gt;"",InpPerformance!S$47,"")</f>
        <v>4.9400000000000004</v>
      </c>
      <c r="T114" s="579" t="str">
        <f>IF(InpPerformance!T$47&lt;&gt;"",InpPerformance!T$47,"")</f>
        <v/>
      </c>
      <c r="U114" s="579" t="str">
        <f>IF(InpPerformance!U$47&lt;&gt;"",InpPerformance!U$47,"")</f>
        <v/>
      </c>
      <c r="V114" s="579" t="str">
        <f>IF(InpPerformance!V$47&lt;&gt;"",InpPerformance!V$47,"")</f>
        <v/>
      </c>
      <c r="W114" s="579">
        <f>IF(InpPerformance!W$47&lt;&gt;"",InpPerformance!W$47,"")</f>
        <v>180</v>
      </c>
      <c r="X114" s="579" t="str">
        <f>IF(InpPerformance!X$47&lt;&gt;"",InpPerformance!X$47,"")</f>
        <v/>
      </c>
      <c r="Y114" s="579">
        <f>IF(InpPerformance!Y$47&lt;&gt;"",InpPerformance!Y$47,"")</f>
        <v>36</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3.6</v>
      </c>
      <c r="AM114" s="579">
        <f>IF(InpPerformance!AM$47&lt;&gt;"",InpPerformance!AM$47,"")</f>
        <v>41.6</v>
      </c>
      <c r="AN114" s="579" t="str">
        <f>IF(InpPerformance!AN$47&lt;&gt;"",InpPerformance!AN$47,"")</f>
        <v/>
      </c>
      <c r="AO114" s="581" t="str">
        <f>IF(InpPerformance!AO$47&lt;&gt;"",InpPerformance!AO$47,"")</f>
        <v/>
      </c>
      <c r="AP114" s="579" t="str">
        <f>IF(InpPerformance!AP$47&lt;&gt;"",InpPerformance!AP$47,"")</f>
        <v/>
      </c>
      <c r="AQ114" s="579">
        <f>IF(InpPerformance!AQ$47&lt;&gt;"",InpPerformance!AQ$47,"")</f>
        <v>5058</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2.91</v>
      </c>
      <c r="K117" s="601">
        <f t="shared" ref="K117:BS117" si="41">K$17</f>
        <v>4.5486111111111109E-3</v>
      </c>
      <c r="L117" s="601">
        <f t="shared" si="41"/>
        <v>9.0504451038575731</v>
      </c>
      <c r="M117" s="601">
        <f t="shared" si="41"/>
        <v>12.576687116564422</v>
      </c>
      <c r="N117" s="601">
        <f t="shared" si="41"/>
        <v>-2.4568393094289709</v>
      </c>
      <c r="O117" s="601" t="str">
        <f t="shared" si="41"/>
        <v/>
      </c>
      <c r="P117" s="601">
        <f t="shared" si="41"/>
        <v>127.9</v>
      </c>
      <c r="Q117" s="602">
        <f t="shared" si="41"/>
        <v>3</v>
      </c>
      <c r="R117" s="601">
        <f t="shared" si="41"/>
        <v>7.2</v>
      </c>
      <c r="S117" s="601">
        <f t="shared" si="41"/>
        <v>3.5</v>
      </c>
      <c r="T117" s="601">
        <f t="shared" si="41"/>
        <v>150</v>
      </c>
      <c r="U117" s="601">
        <f t="shared" si="41"/>
        <v>7.42</v>
      </c>
      <c r="V117" s="601">
        <f t="shared" si="41"/>
        <v>1.74</v>
      </c>
      <c r="W117" s="601">
        <f t="shared" si="41"/>
        <v>14.071</v>
      </c>
      <c r="X117" s="601">
        <f t="shared" si="41"/>
        <v>96.6</v>
      </c>
      <c r="Y117" s="601">
        <f t="shared" si="41"/>
        <v>0</v>
      </c>
      <c r="Z117" s="601">
        <f t="shared" si="41"/>
        <v>58</v>
      </c>
      <c r="AA117" s="601">
        <f t="shared" si="41"/>
        <v>15627</v>
      </c>
      <c r="AB117" s="601">
        <f t="shared" si="41"/>
        <v>59.3</v>
      </c>
      <c r="AC117" s="601">
        <f t="shared" si="41"/>
        <v>59.9</v>
      </c>
      <c r="AD117" s="601">
        <f t="shared" si="41"/>
        <v>47.4</v>
      </c>
      <c r="AE117" s="601">
        <f t="shared" si="41"/>
        <v>73.400000000000006</v>
      </c>
      <c r="AF117" s="601" t="str">
        <f t="shared" si="41"/>
        <v/>
      </c>
      <c r="AG117" s="601" t="str">
        <f t="shared" si="41"/>
        <v/>
      </c>
      <c r="AH117" s="601" t="str">
        <f t="shared" si="41"/>
        <v/>
      </c>
      <c r="AI117" s="601" t="str">
        <f t="shared" si="41"/>
        <v/>
      </c>
      <c r="AJ117" s="601" t="str">
        <f t="shared" si="41"/>
        <v/>
      </c>
      <c r="AK117" s="602" t="str">
        <f t="shared" si="41"/>
        <v/>
      </c>
      <c r="AL117" s="601">
        <f t="shared" si="41"/>
        <v>1.23</v>
      </c>
      <c r="AM117" s="601">
        <f t="shared" si="41"/>
        <v>22.31</v>
      </c>
      <c r="AN117" s="601">
        <f t="shared" si="41"/>
        <v>8.7899999999999991</v>
      </c>
      <c r="AO117" s="602">
        <f t="shared" si="41"/>
        <v>98.52</v>
      </c>
      <c r="AP117" s="601">
        <f t="shared" si="41"/>
        <v>10500</v>
      </c>
      <c r="AQ117" s="601">
        <f t="shared" si="41"/>
        <v>2824</v>
      </c>
      <c r="AR117" s="601">
        <f t="shared" si="41"/>
        <v>27</v>
      </c>
      <c r="AS117" s="601">
        <f t="shared" si="41"/>
        <v>94.1</v>
      </c>
      <c r="AT117" s="601">
        <f t="shared" si="41"/>
        <v>132</v>
      </c>
      <c r="AU117" s="601">
        <f t="shared" si="41"/>
        <v>535</v>
      </c>
      <c r="AV117" s="601">
        <f t="shared" si="41"/>
        <v>0</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1260</v>
      </c>
      <c r="F120" s="501"/>
      <c r="G120" s="501" t="str">
        <f>G7</f>
        <v>Performance commitment unit</v>
      </c>
      <c r="H120" s="501"/>
      <c r="I120" s="444"/>
      <c r="J120" s="483">
        <f>IF(J116&gt;0,MAX(J115,J117),MIN(J115,J117))</f>
        <v>2.91</v>
      </c>
      <c r="K120" s="483">
        <f t="shared" ref="K120:BS120" si="298">IF(K116&gt;0,MAX(K115,K117),MIN(K115,K117))</f>
        <v>4.5486111111111109E-3</v>
      </c>
      <c r="L120" s="483">
        <f t="shared" si="298"/>
        <v>9.0504451038575731</v>
      </c>
      <c r="M120" s="483">
        <f>IF(M116&gt;0,MAX(M115,M117),MIN(M115,M117))</f>
        <v>12.576687116564422</v>
      </c>
      <c r="N120" s="483">
        <f t="shared" si="298"/>
        <v>-2.4568393094289709</v>
      </c>
      <c r="O120" s="483">
        <f>IF(O116&gt;0,MAX(O115,O117),MIN(O115,O117))</f>
        <v>0</v>
      </c>
      <c r="P120" s="483">
        <f t="shared" si="298"/>
        <v>127.9</v>
      </c>
      <c r="Q120" s="484">
        <f t="shared" si="298"/>
        <v>3</v>
      </c>
      <c r="R120" s="483">
        <f t="shared" si="298"/>
        <v>7.2</v>
      </c>
      <c r="S120" s="483">
        <f t="shared" si="298"/>
        <v>3.5</v>
      </c>
      <c r="T120" s="483">
        <f t="shared" si="298"/>
        <v>150</v>
      </c>
      <c r="U120" s="483">
        <f t="shared" si="298"/>
        <v>7.42</v>
      </c>
      <c r="V120" s="483">
        <f t="shared" si="298"/>
        <v>1.74</v>
      </c>
      <c r="W120" s="483">
        <f t="shared" si="298"/>
        <v>14.071</v>
      </c>
      <c r="X120" s="483">
        <f t="shared" si="298"/>
        <v>96.6</v>
      </c>
      <c r="Y120" s="483">
        <f t="shared" si="298"/>
        <v>0</v>
      </c>
      <c r="Z120" s="483">
        <f t="shared" si="298"/>
        <v>58</v>
      </c>
      <c r="AA120" s="483">
        <f t="shared" si="298"/>
        <v>15627</v>
      </c>
      <c r="AB120" s="483">
        <f t="shared" si="298"/>
        <v>59.3</v>
      </c>
      <c r="AC120" s="483">
        <f t="shared" si="298"/>
        <v>59.9</v>
      </c>
      <c r="AD120" s="483">
        <f t="shared" si="298"/>
        <v>47.4</v>
      </c>
      <c r="AE120" s="483">
        <f t="shared" si="298"/>
        <v>73.400000000000006</v>
      </c>
      <c r="AF120" s="483">
        <f t="shared" si="298"/>
        <v>0</v>
      </c>
      <c r="AG120" s="483">
        <f t="shared" si="298"/>
        <v>0</v>
      </c>
      <c r="AH120" s="483">
        <f t="shared" si="298"/>
        <v>0</v>
      </c>
      <c r="AI120" s="483">
        <f t="shared" si="298"/>
        <v>0</v>
      </c>
      <c r="AJ120" s="483">
        <f t="shared" si="298"/>
        <v>0</v>
      </c>
      <c r="AK120" s="484">
        <f t="shared" si="298"/>
        <v>0</v>
      </c>
      <c r="AL120" s="483">
        <f t="shared" si="298"/>
        <v>1.23</v>
      </c>
      <c r="AM120" s="483">
        <f t="shared" si="298"/>
        <v>22.31</v>
      </c>
      <c r="AN120" s="483">
        <f t="shared" si="298"/>
        <v>8.7899999999999991</v>
      </c>
      <c r="AO120" s="484">
        <f t="shared" si="298"/>
        <v>98.52</v>
      </c>
      <c r="AP120" s="483">
        <f t="shared" si="298"/>
        <v>10500</v>
      </c>
      <c r="AQ120" s="483">
        <f t="shared" si="298"/>
        <v>2824</v>
      </c>
      <c r="AR120" s="483">
        <f t="shared" si="298"/>
        <v>27</v>
      </c>
      <c r="AS120" s="483">
        <f t="shared" si="298"/>
        <v>94.1</v>
      </c>
      <c r="AT120" s="483">
        <f t="shared" si="298"/>
        <v>132</v>
      </c>
      <c r="AU120" s="483">
        <f t="shared" si="298"/>
        <v>535</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134.80000000000001</v>
      </c>
      <c r="M127" s="579">
        <f>IF(InpPerformance!M$8&lt;&gt;"",ROUND(InpPerformance!M$8,1),"")</f>
        <v>65.2</v>
      </c>
      <c r="N127" s="579">
        <f>IF(InpPerformance!N$8&lt;&gt;"",ROUND(InpPerformance!N$8,1),"")</f>
        <v>150.6</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-2.9660000000000002</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f>InpPerformance!AM$60</f>
        <v>-0.877</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f t="shared" si="303"/>
        <v>5.0445103857573059E-2</v>
      </c>
      <c r="M139" s="481">
        <f>M34</f>
        <v>2.0766871165644218</v>
      </c>
      <c r="N139" s="481" t="str">
        <f t="shared" si="303"/>
        <v/>
      </c>
      <c r="O139" s="481" t="str">
        <f>O34</f>
        <v/>
      </c>
      <c r="P139" s="481" t="str">
        <f t="shared" si="303"/>
        <v/>
      </c>
      <c r="Q139" s="482" t="str">
        <f t="shared" si="303"/>
        <v/>
      </c>
      <c r="R139" s="481" t="str">
        <f t="shared" si="303"/>
        <v/>
      </c>
      <c r="S139" s="481">
        <f t="shared" si="303"/>
        <v>0.5</v>
      </c>
      <c r="T139" s="481">
        <f t="shared" si="303"/>
        <v>275</v>
      </c>
      <c r="U139" s="481">
        <f t="shared" si="303"/>
        <v>0.79000000000000092</v>
      </c>
      <c r="V139" s="481">
        <f t="shared" si="303"/>
        <v>0.30000000000000004</v>
      </c>
      <c r="W139" s="481" t="str">
        <f t="shared" si="303"/>
        <v/>
      </c>
      <c r="X139" s="481" t="str">
        <f t="shared" si="303"/>
        <v/>
      </c>
      <c r="Y139" s="481" t="str">
        <f t="shared" si="303"/>
        <v/>
      </c>
      <c r="Z139" s="481">
        <f t="shared" si="303"/>
        <v>48</v>
      </c>
      <c r="AA139" s="481">
        <f t="shared" si="303"/>
        <v>7686</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0.20999999999999996</v>
      </c>
      <c r="AM139" s="481">
        <f t="shared" si="303"/>
        <v>8.9999999999999858E-2</v>
      </c>
      <c r="AN139" s="481" t="str">
        <f t="shared" si="303"/>
        <v/>
      </c>
      <c r="AO139" s="482" t="str">
        <f t="shared" si="303"/>
        <v/>
      </c>
      <c r="AP139" s="481">
        <f t="shared" si="303"/>
        <v>450</v>
      </c>
      <c r="AQ139" s="481">
        <f t="shared" si="303"/>
        <v>4</v>
      </c>
      <c r="AR139" s="481">
        <f t="shared" si="303"/>
        <v>12</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f t="shared" ref="J142:BS142" si="305">J52</f>
        <v>1.4100000000000001</v>
      </c>
      <c r="K142" s="481">
        <f t="shared" si="305"/>
        <v>8.1018518518518462E-4</v>
      </c>
      <c r="L142" s="481" t="str">
        <f t="shared" si="305"/>
        <v/>
      </c>
      <c r="M142" s="481" t="str">
        <f>M52</f>
        <v/>
      </c>
      <c r="N142" s="481">
        <f t="shared" si="305"/>
        <v>6.5568393094289705</v>
      </c>
      <c r="O142" s="481" t="str">
        <f>O52</f>
        <v/>
      </c>
      <c r="P142" s="481" t="str">
        <f t="shared" si="305"/>
        <v/>
      </c>
      <c r="Q142" s="482" t="str">
        <f t="shared" si="305"/>
        <v/>
      </c>
      <c r="R142" s="481">
        <f t="shared" si="305"/>
        <v>3.2</v>
      </c>
      <c r="S142" s="481" t="str">
        <f t="shared" si="305"/>
        <v/>
      </c>
      <c r="T142" s="481" t="str">
        <f t="shared" si="305"/>
        <v/>
      </c>
      <c r="U142" s="481" t="str">
        <f t="shared" si="305"/>
        <v/>
      </c>
      <c r="V142" s="481" t="str">
        <f t="shared" si="305"/>
        <v/>
      </c>
      <c r="W142" s="481" t="str">
        <f t="shared" si="305"/>
        <v/>
      </c>
      <c r="X142" s="481">
        <f t="shared" si="305"/>
        <v>4.0999999999999943</v>
      </c>
      <c r="Y142" s="481" t="str">
        <f t="shared" si="305"/>
        <v/>
      </c>
      <c r="Z142" s="481" t="str">
        <f t="shared" si="305"/>
        <v/>
      </c>
      <c r="AA142" s="481" t="str">
        <f t="shared" si="305"/>
        <v/>
      </c>
      <c r="AB142" s="481" t="str">
        <f t="shared" si="305"/>
        <v/>
      </c>
      <c r="AC142" s="481">
        <f t="shared" si="305"/>
        <v>18.899999999999999</v>
      </c>
      <c r="AD142" s="481">
        <f t="shared" si="305"/>
        <v>33.000000000000007</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f t="shared" si="305"/>
        <v>0.48000000000000398</v>
      </c>
      <c r="AP142" s="481" t="str">
        <f t="shared" si="305"/>
        <v/>
      </c>
      <c r="AQ142" s="481" t="str">
        <f t="shared" si="305"/>
        <v/>
      </c>
      <c r="AR142" s="481" t="str">
        <f t="shared" si="305"/>
        <v/>
      </c>
      <c r="AS142" s="481">
        <f t="shared" si="305"/>
        <v>2.960000000000008</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1.4999999999999999E-2</v>
      </c>
      <c r="M152" s="567">
        <f>M45</f>
        <v>0.21559999999999999</v>
      </c>
      <c r="N152" s="567">
        <f t="shared" si="308"/>
        <v>0</v>
      </c>
      <c r="O152" s="567">
        <f>O45</f>
        <v>0</v>
      </c>
      <c r="P152" s="567">
        <f t="shared" si="308"/>
        <v>0</v>
      </c>
      <c r="Q152" s="568">
        <f t="shared" si="308"/>
        <v>0</v>
      </c>
      <c r="R152" s="567">
        <f t="shared" si="308"/>
        <v>0</v>
      </c>
      <c r="S152" s="567">
        <f t="shared" si="308"/>
        <v>1.3325</v>
      </c>
      <c r="T152" s="567">
        <f t="shared" si="308"/>
        <v>0.91025</v>
      </c>
      <c r="U152" s="567">
        <f t="shared" si="308"/>
        <v>0.69362000000000079</v>
      </c>
      <c r="V152" s="567">
        <f t="shared" si="308"/>
        <v>0.26340000000000002</v>
      </c>
      <c r="W152" s="567">
        <f t="shared" si="308"/>
        <v>0</v>
      </c>
      <c r="X152" s="567">
        <f t="shared" si="308"/>
        <v>0</v>
      </c>
      <c r="Y152" s="567">
        <f t="shared" si="308"/>
        <v>0</v>
      </c>
      <c r="Z152" s="567">
        <f t="shared" si="308"/>
        <v>0.36864000000000002</v>
      </c>
      <c r="AA152" s="567">
        <f t="shared" si="308"/>
        <v>1.4372819999999999</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0.52982999999999991</v>
      </c>
      <c r="AM152" s="567">
        <f t="shared" si="308"/>
        <v>2.6909999999999955E-2</v>
      </c>
      <c r="AN152" s="567">
        <f t="shared" si="308"/>
        <v>0</v>
      </c>
      <c r="AO152" s="568">
        <f t="shared" si="308"/>
        <v>0</v>
      </c>
      <c r="AP152" s="567">
        <f t="shared" si="308"/>
        <v>0.35099999999999998</v>
      </c>
      <c r="AQ152" s="567">
        <f t="shared" si="308"/>
        <v>1.7239999999999998E-2</v>
      </c>
      <c r="AR152" s="567">
        <f t="shared" si="308"/>
        <v>0.66120000000000001</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-1.9655400000000001</v>
      </c>
      <c r="K156" s="567">
        <f t="shared" si="311"/>
        <v>-1.1993333333333325</v>
      </c>
      <c r="L156" s="567">
        <f t="shared" si="311"/>
        <v>0</v>
      </c>
      <c r="M156" s="567">
        <f>M63</f>
        <v>0</v>
      </c>
      <c r="N156" s="567">
        <f t="shared" si="311"/>
        <v>-1.9602000000000002</v>
      </c>
      <c r="O156" s="567">
        <f>O63</f>
        <v>0</v>
      </c>
      <c r="P156" s="567">
        <f t="shared" si="311"/>
        <v>0</v>
      </c>
      <c r="Q156" s="568">
        <f t="shared" si="311"/>
        <v>0</v>
      </c>
      <c r="R156" s="567">
        <f t="shared" si="311"/>
        <v>-1.3696000000000002</v>
      </c>
      <c r="S156" s="567">
        <f t="shared" si="311"/>
        <v>0</v>
      </c>
      <c r="T156" s="567">
        <f t="shared" si="311"/>
        <v>0</v>
      </c>
      <c r="U156" s="567">
        <f t="shared" si="311"/>
        <v>0</v>
      </c>
      <c r="V156" s="567">
        <f t="shared" si="311"/>
        <v>0</v>
      </c>
      <c r="W156" s="567">
        <f t="shared" si="311"/>
        <v>0</v>
      </c>
      <c r="X156" s="567">
        <f t="shared" si="311"/>
        <v>-4.5878999999999932</v>
      </c>
      <c r="Y156" s="567">
        <f t="shared" si="311"/>
        <v>0</v>
      </c>
      <c r="Z156" s="567">
        <f t="shared" si="311"/>
        <v>0</v>
      </c>
      <c r="AA156" s="567">
        <f t="shared" si="311"/>
        <v>0</v>
      </c>
      <c r="AB156" s="567">
        <f t="shared" si="311"/>
        <v>0</v>
      </c>
      <c r="AC156" s="567">
        <f t="shared" si="311"/>
        <v>-0.87317999999999985</v>
      </c>
      <c r="AD156" s="567">
        <f t="shared" si="311"/>
        <v>-6.4020000000000019</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-0.28656000000000237</v>
      </c>
      <c r="AP156" s="567">
        <f t="shared" si="311"/>
        <v>0</v>
      </c>
      <c r="AQ156" s="567">
        <f t="shared" si="311"/>
        <v>0</v>
      </c>
      <c r="AR156" s="567">
        <f t="shared" si="311"/>
        <v>0</v>
      </c>
      <c r="AS156" s="567">
        <f t="shared" si="311"/>
        <v>-0.73704000000000203</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0</v>
      </c>
      <c r="AD161" s="582" t="b">
        <f>InpPerformance!AD36</f>
        <v>0</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f>IF(InpPerformance!X27&lt;&gt;"",InpPerformance!X27,"")</f>
        <v>-0.39400000000000002</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1.4999999999999999E-2</v>
      </c>
      <c r="M171" s="567">
        <f>IF(M$161=TRUE,IF(M162&lt;&gt;"",M162,M152),0)</f>
        <v>0.21559999999999999</v>
      </c>
      <c r="N171" s="567">
        <f t="shared" si="314"/>
        <v>0</v>
      </c>
      <c r="O171" s="567">
        <f>IF(O$161=TRUE,IF(O162&lt;&gt;"",O162,O152),0)</f>
        <v>0</v>
      </c>
      <c r="P171" s="567">
        <f t="shared" si="314"/>
        <v>0</v>
      </c>
      <c r="Q171" s="568">
        <f t="shared" si="314"/>
        <v>0</v>
      </c>
      <c r="R171" s="567">
        <f t="shared" si="314"/>
        <v>0</v>
      </c>
      <c r="S171" s="567">
        <f t="shared" si="314"/>
        <v>1.3325</v>
      </c>
      <c r="T171" s="567">
        <f t="shared" si="314"/>
        <v>0.91025</v>
      </c>
      <c r="U171" s="567">
        <f t="shared" si="314"/>
        <v>0.69362000000000079</v>
      </c>
      <c r="V171" s="567">
        <f t="shared" si="314"/>
        <v>0.26340000000000002</v>
      </c>
      <c r="W171" s="567">
        <f t="shared" si="314"/>
        <v>0</v>
      </c>
      <c r="X171" s="567">
        <f t="shared" si="314"/>
        <v>0</v>
      </c>
      <c r="Y171" s="567">
        <f t="shared" si="314"/>
        <v>0</v>
      </c>
      <c r="Z171" s="567">
        <f t="shared" si="314"/>
        <v>0.36864000000000002</v>
      </c>
      <c r="AA171" s="567">
        <f t="shared" si="314"/>
        <v>1.4372819999999999</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0.52982999999999991</v>
      </c>
      <c r="AM171" s="567">
        <f t="shared" si="314"/>
        <v>2.6909999999999955E-2</v>
      </c>
      <c r="AN171" s="567">
        <f t="shared" si="314"/>
        <v>0</v>
      </c>
      <c r="AO171" s="568">
        <f t="shared" si="314"/>
        <v>0</v>
      </c>
      <c r="AP171" s="567">
        <f t="shared" si="314"/>
        <v>0.35099999999999998</v>
      </c>
      <c r="AQ171" s="567">
        <f t="shared" si="314"/>
        <v>1.7239999999999998E-2</v>
      </c>
      <c r="AR171" s="567">
        <f t="shared" si="314"/>
        <v>0.66120000000000001</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1270</v>
      </c>
      <c r="F174" s="444"/>
      <c r="G174" s="609" t="str">
        <f>InpCompany!$F$11</f>
        <v>£m (2017-18 prices)</v>
      </c>
      <c r="H174" s="444"/>
      <c r="I174" s="444"/>
      <c r="J174" s="567">
        <f>SUM(J171:J173)</f>
        <v>0</v>
      </c>
      <c r="K174" s="567">
        <f t="shared" ref="K174:BS174" si="316">SUM(K171:K173)</f>
        <v>0</v>
      </c>
      <c r="L174" s="567">
        <f t="shared" si="316"/>
        <v>1.4999999999999999E-2</v>
      </c>
      <c r="M174" s="567">
        <f>SUM(M171:M173)</f>
        <v>0.21559999999999999</v>
      </c>
      <c r="N174" s="567">
        <f t="shared" si="316"/>
        <v>0</v>
      </c>
      <c r="O174" s="567">
        <f>SUM(O171:O173)</f>
        <v>0</v>
      </c>
      <c r="P174" s="567">
        <f t="shared" si="316"/>
        <v>0</v>
      </c>
      <c r="Q174" s="568">
        <f t="shared" si="316"/>
        <v>0</v>
      </c>
      <c r="R174" s="567">
        <f t="shared" si="316"/>
        <v>0</v>
      </c>
      <c r="S174" s="567">
        <f t="shared" si="316"/>
        <v>1.3325</v>
      </c>
      <c r="T174" s="567">
        <f t="shared" si="316"/>
        <v>0.91025</v>
      </c>
      <c r="U174" s="567">
        <f t="shared" si="316"/>
        <v>0.69362000000000079</v>
      </c>
      <c r="V174" s="567">
        <f t="shared" si="316"/>
        <v>0.26340000000000002</v>
      </c>
      <c r="W174" s="567">
        <f t="shared" si="316"/>
        <v>0</v>
      </c>
      <c r="X174" s="567">
        <f t="shared" si="316"/>
        <v>0</v>
      </c>
      <c r="Y174" s="567">
        <f t="shared" si="316"/>
        <v>0</v>
      </c>
      <c r="Z174" s="567">
        <f t="shared" si="316"/>
        <v>0.36864000000000002</v>
      </c>
      <c r="AA174" s="567">
        <f t="shared" si="316"/>
        <v>1.4372819999999999</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0.52982999999999991</v>
      </c>
      <c r="AM174" s="567">
        <f t="shared" si="316"/>
        <v>2.6909999999999955E-2</v>
      </c>
      <c r="AN174" s="567">
        <f t="shared" si="316"/>
        <v>0</v>
      </c>
      <c r="AO174" s="568">
        <f t="shared" si="316"/>
        <v>0</v>
      </c>
      <c r="AP174" s="567">
        <f t="shared" si="316"/>
        <v>0.35099999999999998</v>
      </c>
      <c r="AQ174" s="567">
        <f t="shared" si="316"/>
        <v>1.7239999999999998E-2</v>
      </c>
      <c r="AR174" s="567">
        <f t="shared" si="316"/>
        <v>0.66120000000000001</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-1.9655400000000001</v>
      </c>
      <c r="K176" s="567">
        <f t="shared" ref="K176:BS178" si="317">IF(K$161=TRUE,IF(K166&lt;&gt;"",K166,K156),0)</f>
        <v>-1.1993333333333325</v>
      </c>
      <c r="L176" s="567">
        <f t="shared" si="317"/>
        <v>0</v>
      </c>
      <c r="M176" s="567">
        <f>IF(M$161=TRUE,IF(M166&lt;&gt;"",M166,M156),0)</f>
        <v>0</v>
      </c>
      <c r="N176" s="567">
        <f t="shared" si="317"/>
        <v>-1.9602000000000002</v>
      </c>
      <c r="O176" s="567">
        <f>IF(O$161=TRUE,IF(O166&lt;&gt;"",O166,O156),0)</f>
        <v>0</v>
      </c>
      <c r="P176" s="567">
        <f t="shared" si="317"/>
        <v>0</v>
      </c>
      <c r="Q176" s="568">
        <f t="shared" si="317"/>
        <v>0</v>
      </c>
      <c r="R176" s="567">
        <f t="shared" si="317"/>
        <v>-1.3696000000000002</v>
      </c>
      <c r="S176" s="567">
        <f t="shared" si="317"/>
        <v>0</v>
      </c>
      <c r="T176" s="567">
        <f t="shared" si="317"/>
        <v>0</v>
      </c>
      <c r="U176" s="567">
        <f t="shared" si="317"/>
        <v>0</v>
      </c>
      <c r="V176" s="567">
        <f t="shared" si="317"/>
        <v>0</v>
      </c>
      <c r="W176" s="567">
        <f t="shared" si="317"/>
        <v>0</v>
      </c>
      <c r="X176" s="567">
        <f>IF(X$161=TRUE,IF(X166&lt;&gt;"",X166,X156),0)</f>
        <v>-0.39400000000000002</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-0.28656000000000237</v>
      </c>
      <c r="AP176" s="567">
        <f t="shared" si="317"/>
        <v>0</v>
      </c>
      <c r="AQ176" s="567">
        <f t="shared" si="317"/>
        <v>0</v>
      </c>
      <c r="AR176" s="567">
        <f t="shared" si="317"/>
        <v>0</v>
      </c>
      <c r="AS176" s="567">
        <f t="shared" si="317"/>
        <v>-0.73704000000000203</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1271</v>
      </c>
      <c r="F179" s="444"/>
      <c r="G179" s="609" t="str">
        <f>InpCompany!$F$11</f>
        <v>£m (2017-18 prices)</v>
      </c>
      <c r="H179" s="444"/>
      <c r="I179" s="444"/>
      <c r="J179" s="567">
        <f>SUM(J176:J178)</f>
        <v>-1.9655400000000001</v>
      </c>
      <c r="K179" s="567">
        <f t="shared" ref="K179:BS179" si="319">SUM(K176:K178)</f>
        <v>-1.1993333333333325</v>
      </c>
      <c r="L179" s="567">
        <f t="shared" si="319"/>
        <v>0</v>
      </c>
      <c r="M179" s="567">
        <f>SUM(M176:M178)</f>
        <v>0</v>
      </c>
      <c r="N179" s="567">
        <f t="shared" si="319"/>
        <v>-1.9602000000000002</v>
      </c>
      <c r="O179" s="567">
        <f>SUM(O176:O178)</f>
        <v>0</v>
      </c>
      <c r="P179" s="567">
        <f t="shared" si="319"/>
        <v>0</v>
      </c>
      <c r="Q179" s="568">
        <f t="shared" si="319"/>
        <v>0</v>
      </c>
      <c r="R179" s="567">
        <f t="shared" si="319"/>
        <v>-1.3696000000000002</v>
      </c>
      <c r="S179" s="567">
        <f t="shared" si="319"/>
        <v>0</v>
      </c>
      <c r="T179" s="567">
        <f t="shared" si="319"/>
        <v>0</v>
      </c>
      <c r="U179" s="567">
        <f t="shared" si="319"/>
        <v>0</v>
      </c>
      <c r="V179" s="567">
        <f t="shared" si="319"/>
        <v>0</v>
      </c>
      <c r="W179" s="567">
        <f t="shared" si="319"/>
        <v>0</v>
      </c>
      <c r="X179" s="567">
        <f t="shared" si="319"/>
        <v>-0.39400000000000002</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-0.28656000000000237</v>
      </c>
      <c r="AP179" s="567">
        <f t="shared" si="319"/>
        <v>0</v>
      </c>
      <c r="AQ179" s="567">
        <f t="shared" si="319"/>
        <v>0</v>
      </c>
      <c r="AR179" s="567">
        <f t="shared" si="319"/>
        <v>0</v>
      </c>
      <c r="AS179" s="567">
        <f t="shared" si="319"/>
        <v>-0.73704000000000203</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In-period</v>
      </c>
      <c r="AB182" s="582" t="str">
        <f>InpPerformance!AB34</f>
        <v>End of period</v>
      </c>
      <c r="AC182" s="582" t="str">
        <f>InpPerformance!AC34</f>
        <v>End of period</v>
      </c>
      <c r="AD182" s="582" t="str">
        <f>InpPerformance!AD34</f>
        <v>End of period</v>
      </c>
      <c r="AE182" s="582" t="str">
        <f>InpPerformance!AE34</f>
        <v>In-period</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End of period</v>
      </c>
      <c r="AU182" s="582" t="str">
        <f>InpPerformance!AU34</f>
        <v>In-period</v>
      </c>
      <c r="AV182" s="582" t="str">
        <f>InpPerformance!AV34</f>
        <v>End of period</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1273</v>
      </c>
      <c r="F183" s="444"/>
      <c r="G183" s="608" t="s">
        <v>425</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1</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1</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30" t="b">
        <f>IF(OR(AND('Validation summary'!$B$2="2023-24",AQ182="In-period"),AND('Validation summary'!$B$2="2024-25",AQ182="In-period")),TRUE,FALSE)</f>
        <v>1</v>
      </c>
      <c r="AR183" s="485" t="b">
        <f>IF(OR(AND('Validation summary'!$B$2="2023-24",AR182="In-period"),AND('Validation summary'!$B$2="2024-25",AR182="In-period")),TRUE,FALSE)</f>
        <v>1</v>
      </c>
      <c r="AS183" s="2130" t="b">
        <f>IF(OR(AND('Validation summary'!$B$2="2023-24",AS182="In-period"),AND('Validation summary'!$B$2="2024-25",AS182="In-period")),TRUE,FALSE)</f>
        <v>1</v>
      </c>
      <c r="AT183" s="485" t="b">
        <f>IF(OR(AND('Validation summary'!$B$2="2023-24",AT182="In-period"),AND('Validation summary'!$B$2="2024-25",AT182="In-period")),TRUE,FALSE)</f>
        <v>0</v>
      </c>
      <c r="AU183" s="485" t="b">
        <f>IF(OR(AND('Validation summary'!$B$2="2023-24",AU182="In-period"),AND('Validation summary'!$B$2="2024-25",AU182="In-period")),TRUE,FALSE)</f>
        <v>1</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v>
      </c>
      <c r="L185" s="567">
        <f t="shared" si="320"/>
        <v>1.4999999999999999E-2</v>
      </c>
      <c r="M185" s="567">
        <f>IF(M$183=TRUE,M174,0)</f>
        <v>0.21559999999999999</v>
      </c>
      <c r="N185" s="567">
        <f t="shared" si="320"/>
        <v>0</v>
      </c>
      <c r="O185" s="567">
        <f>IF(O$183=TRUE,O174,0)</f>
        <v>0</v>
      </c>
      <c r="P185" s="567">
        <f t="shared" si="320"/>
        <v>0</v>
      </c>
      <c r="Q185" s="568">
        <f t="shared" si="320"/>
        <v>0</v>
      </c>
      <c r="R185" s="567">
        <f t="shared" si="320"/>
        <v>0</v>
      </c>
      <c r="S185" s="567">
        <f t="shared" si="320"/>
        <v>1.3325</v>
      </c>
      <c r="T185" s="567">
        <f t="shared" si="320"/>
        <v>0.91025</v>
      </c>
      <c r="U185" s="567">
        <f t="shared" si="320"/>
        <v>0.69362000000000079</v>
      </c>
      <c r="V185" s="567">
        <f t="shared" si="320"/>
        <v>0.26340000000000002</v>
      </c>
      <c r="W185" s="567">
        <f t="shared" si="320"/>
        <v>0</v>
      </c>
      <c r="X185" s="567">
        <f t="shared" si="320"/>
        <v>0</v>
      </c>
      <c r="Y185" s="567">
        <f t="shared" si="320"/>
        <v>0</v>
      </c>
      <c r="Z185" s="567">
        <f t="shared" si="320"/>
        <v>0.36864000000000002</v>
      </c>
      <c r="AA185" s="567">
        <f t="shared" si="320"/>
        <v>1.4372819999999999</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0.52982999999999991</v>
      </c>
      <c r="AM185" s="567">
        <f t="shared" si="320"/>
        <v>2.6909999999999955E-2</v>
      </c>
      <c r="AN185" s="567">
        <f t="shared" si="320"/>
        <v>0</v>
      </c>
      <c r="AO185" s="568">
        <f t="shared" si="320"/>
        <v>0</v>
      </c>
      <c r="AP185" s="567">
        <f t="shared" si="320"/>
        <v>0.35099999999999998</v>
      </c>
      <c r="AQ185" s="567">
        <f t="shared" si="320"/>
        <v>1.7239999999999998E-2</v>
      </c>
      <c r="AR185" s="567">
        <f t="shared" si="320"/>
        <v>0.66120000000000001</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-1.9655400000000001</v>
      </c>
      <c r="K186" s="567">
        <f t="shared" ref="K186:BS186" si="321">IF(K$183=TRUE,K179,0)</f>
        <v>-1.1993333333333325</v>
      </c>
      <c r="L186" s="567">
        <f t="shared" si="321"/>
        <v>0</v>
      </c>
      <c r="M186" s="567">
        <f>IF(M$183=TRUE,M179,0)</f>
        <v>0</v>
      </c>
      <c r="N186" s="567">
        <f t="shared" si="321"/>
        <v>0</v>
      </c>
      <c r="O186" s="567">
        <f>IF(O$183=TRUE,O179,0)</f>
        <v>0</v>
      </c>
      <c r="P186" s="567">
        <f t="shared" si="321"/>
        <v>0</v>
      </c>
      <c r="Q186" s="568">
        <f t="shared" si="321"/>
        <v>0</v>
      </c>
      <c r="R186" s="567">
        <f t="shared" si="321"/>
        <v>-1.3696000000000002</v>
      </c>
      <c r="S186" s="567">
        <f t="shared" si="321"/>
        <v>0</v>
      </c>
      <c r="T186" s="567">
        <f t="shared" si="321"/>
        <v>0</v>
      </c>
      <c r="U186" s="567">
        <f t="shared" si="321"/>
        <v>0</v>
      </c>
      <c r="V186" s="567">
        <f t="shared" si="321"/>
        <v>0</v>
      </c>
      <c r="W186" s="567">
        <f t="shared" si="321"/>
        <v>0</v>
      </c>
      <c r="X186" s="567">
        <f t="shared" si="321"/>
        <v>-0.39400000000000002</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-0.28656000000000237</v>
      </c>
      <c r="AP186" s="567">
        <f t="shared" si="321"/>
        <v>0</v>
      </c>
      <c r="AQ186" s="567">
        <f t="shared" si="321"/>
        <v>0</v>
      </c>
      <c r="AR186" s="567">
        <f t="shared" si="321"/>
        <v>0</v>
      </c>
      <c r="AS186" s="567">
        <f t="shared" si="321"/>
        <v>-0.73704000000000203</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Revenue</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1</v>
      </c>
      <c r="Z192" s="614">
        <f>IF(InpPerformance!Z68="",0,InpPerformance!Z68)</f>
        <v>0.122</v>
      </c>
      <c r="AA192" s="614">
        <f>IF(InpPerformance!AA68="",0,InpPerformance!AA68)</f>
        <v>0.11</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0.14499999999999999</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1</v>
      </c>
      <c r="U193" s="614">
        <f>IF(InpPerformance!U69="",0,InpPerformance!U69)</f>
        <v>1</v>
      </c>
      <c r="V193" s="614">
        <f>IF(InpPerformance!V69="",0,InpPerformance!V69)</f>
        <v>1</v>
      </c>
      <c r="W193" s="614">
        <f>IF(InpPerformance!W69="",0,InpPerformance!W69)</f>
        <v>1</v>
      </c>
      <c r="X193" s="614">
        <f>IF(InpPerformance!X69="",0,InpPerformance!X69)</f>
        <v>1</v>
      </c>
      <c r="Y193" s="614">
        <f>IF(InpPerformance!Y69="",0,InpPerformance!Y69)</f>
        <v>0</v>
      </c>
      <c r="Z193" s="614">
        <f>IF(InpPerformance!Z69="",0,InpPerformance!Z69)</f>
        <v>0.501</v>
      </c>
      <c r="AA193" s="614">
        <f>IF(InpPerformance!AA69="",0,InpPerformance!AA69)</f>
        <v>0.44900000000000001</v>
      </c>
      <c r="AB193" s="614">
        <f>IF(InpPerformance!AB69="",0,InpPerformance!AB69)</f>
        <v>1</v>
      </c>
      <c r="AC193" s="614">
        <f>IF(InpPerformance!AC69="",0,InpPerformance!AC69)</f>
        <v>1</v>
      </c>
      <c r="AD193" s="614">
        <f>IF(InpPerformance!AD69="",0,InpPerformance!AD69)</f>
        <v>1</v>
      </c>
      <c r="AE193" s="614">
        <f>IF(InpPerformance!AE69="",0,InpPerformance!AE69)</f>
        <v>0.70399999999999996</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0.16</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0.377</v>
      </c>
      <c r="AA194" s="614">
        <f>IF(InpPerformance!AA70="",0,InpPerformance!AA70)</f>
        <v>0.33800000000000002</v>
      </c>
      <c r="AB194" s="614">
        <f>IF(InpPerformance!AB70="",0,InpPerformance!AB70)</f>
        <v>0</v>
      </c>
      <c r="AC194" s="614">
        <f>IF(InpPerformance!AC70="",0,InpPerformance!AC70)</f>
        <v>0</v>
      </c>
      <c r="AD194" s="614">
        <f>IF(InpPerformance!AD70="",0,InpPerformance!AD70)</f>
        <v>0</v>
      </c>
      <c r="AE194" s="614">
        <f>IF(InpPerformance!AE70="",0,InpPerformance!AE70)</f>
        <v>0.29599999999999999</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0.84</v>
      </c>
      <c r="AP194" s="614">
        <f>IF(InpPerformance!AP70="",0,InpPerformance!AP70)</f>
        <v>1</v>
      </c>
      <c r="AQ194" s="614">
        <f>IF(InpPerformance!AQ70="",0,InpPerformance!AQ70)</f>
        <v>1</v>
      </c>
      <c r="AR194" s="614">
        <f>IF(InpPerformance!AR70="",0,InpPerformance!AR70)</f>
        <v>1</v>
      </c>
      <c r="AS194" s="614">
        <f>IF(InpPerformance!AS70="",0,InpPerformance!AS70)</f>
        <v>1</v>
      </c>
      <c r="AT194" s="614">
        <f>IF(InpPerformance!AT70="",0,InpPerformance!AT70)</f>
        <v>1</v>
      </c>
      <c r="AU194" s="614">
        <f>IF(InpPerformance!AU70="",0,InpPerformance!AU70)</f>
        <v>0.85499999999999998</v>
      </c>
      <c r="AV194" s="614">
        <f>IF(InpPerformance!AV70="",0,InpPerformance!AV70)</f>
        <v>1</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2.9000000000000001E-2</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7.3999999999999996E-2</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1275</v>
      </c>
      <c r="F201" s="444"/>
      <c r="G201" s="609" t="str">
        <f>InpCompany!$F$11</f>
        <v>£m (2017-18 prices)</v>
      </c>
      <c r="H201" s="616">
        <f t="shared" ref="H201:H207" si="322">SUM(J201:BS201)</f>
        <v>0.20307510000000001</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4.497408E-2</v>
      </c>
      <c r="AA201" s="567">
        <f t="shared" si="323"/>
        <v>0.15810102000000001</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1276</v>
      </c>
      <c r="F202" s="444"/>
      <c r="G202" s="609" t="str">
        <f>InpCompany!$F$11</f>
        <v>£m (2017-18 prices)</v>
      </c>
      <c r="H202" s="616">
        <f t="shared" si="322"/>
        <v>2.9278982580000008</v>
      </c>
      <c r="I202" s="617"/>
      <c r="J202" s="567">
        <f t="shared" si="323"/>
        <v>0</v>
      </c>
      <c r="K202" s="567">
        <f t="shared" si="323"/>
        <v>0</v>
      </c>
      <c r="L202" s="567">
        <f t="shared" si="323"/>
        <v>1.4999999999999999E-2</v>
      </c>
      <c r="M202" s="567">
        <f t="shared" si="324"/>
        <v>0.21559999999999999</v>
      </c>
      <c r="N202" s="567">
        <f t="shared" si="323"/>
        <v>0</v>
      </c>
      <c r="O202" s="567">
        <f t="shared" si="325"/>
        <v>0</v>
      </c>
      <c r="P202" s="567">
        <f t="shared" si="323"/>
        <v>0</v>
      </c>
      <c r="Q202" s="568">
        <f t="shared" si="323"/>
        <v>0</v>
      </c>
      <c r="R202" s="567">
        <f t="shared" si="323"/>
        <v>0</v>
      </c>
      <c r="S202" s="567">
        <f t="shared" si="323"/>
        <v>0</v>
      </c>
      <c r="T202" s="567">
        <f t="shared" si="323"/>
        <v>0.91025</v>
      </c>
      <c r="U202" s="567">
        <f t="shared" si="323"/>
        <v>0.69362000000000079</v>
      </c>
      <c r="V202" s="567">
        <f t="shared" si="323"/>
        <v>0.26340000000000002</v>
      </c>
      <c r="W202" s="567">
        <f t="shared" si="323"/>
        <v>0</v>
      </c>
      <c r="X202" s="567">
        <f t="shared" si="323"/>
        <v>0</v>
      </c>
      <c r="Y202" s="567">
        <f t="shared" si="323"/>
        <v>0</v>
      </c>
      <c r="Z202" s="567">
        <f t="shared" si="323"/>
        <v>0.18468864000000002</v>
      </c>
      <c r="AA202" s="567">
        <f t="shared" si="323"/>
        <v>0.64533961799999995</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1277</v>
      </c>
      <c r="F203" s="444"/>
      <c r="G203" s="609" t="str">
        <f>InpCompany!$F$11</f>
        <v>£m (2017-18 prices)</v>
      </c>
      <c r="H203" s="616">
        <f t="shared" si="322"/>
        <v>2.2109585960000002</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0.13897728000000001</v>
      </c>
      <c r="AA203" s="567">
        <f t="shared" si="323"/>
        <v>0.48580131600000004</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0.52982999999999991</v>
      </c>
      <c r="AM203" s="567">
        <f t="shared" si="323"/>
        <v>2.6909999999999955E-2</v>
      </c>
      <c r="AN203" s="567">
        <f t="shared" si="323"/>
        <v>0</v>
      </c>
      <c r="AO203" s="568">
        <f t="shared" si="323"/>
        <v>0</v>
      </c>
      <c r="AP203" s="567">
        <f t="shared" si="323"/>
        <v>0.35099999999999998</v>
      </c>
      <c r="AQ203" s="567">
        <f t="shared" si="323"/>
        <v>1.7239999999999998E-2</v>
      </c>
      <c r="AR203" s="567">
        <f t="shared" si="323"/>
        <v>0.66120000000000001</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1278</v>
      </c>
      <c r="F204" s="444"/>
      <c r="G204" s="609" t="str">
        <f>InpCompany!$F$11</f>
        <v>£m (2017-18 prices)</v>
      </c>
      <c r="H204" s="616">
        <f t="shared" si="322"/>
        <v>4.1681177999999999E-2</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4.1681177999999999E-2</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1279</v>
      </c>
      <c r="F205" s="444"/>
      <c r="G205" s="609" t="str">
        <f>InpCompany!$F$11</f>
        <v>£m (2017-18 prices)</v>
      </c>
      <c r="H205" s="616">
        <f t="shared" si="322"/>
        <v>1.4388588680000001</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1.3325</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0.106358868</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1284</v>
      </c>
      <c r="F211" s="444"/>
      <c r="G211" s="609" t="str">
        <f>InpCompany!$F$11</f>
        <v>£m (2017-18 prices)</v>
      </c>
      <c r="H211" s="616">
        <f t="shared" si="329"/>
        <v>-6.9345229333333336</v>
      </c>
      <c r="I211" s="617"/>
      <c r="J211" s="567">
        <f t="shared" si="330"/>
        <v>-1.9655400000000001</v>
      </c>
      <c r="K211" s="567">
        <f t="shared" si="330"/>
        <v>-1.1993333333333325</v>
      </c>
      <c r="L211" s="567">
        <f t="shared" si="330"/>
        <v>0</v>
      </c>
      <c r="M211" s="567">
        <f t="shared" si="331"/>
        <v>0</v>
      </c>
      <c r="N211" s="686">
        <f t="shared" si="330"/>
        <v>-1.9602000000000002</v>
      </c>
      <c r="O211" s="567">
        <f t="shared" si="332"/>
        <v>0</v>
      </c>
      <c r="P211" s="567">
        <f t="shared" si="330"/>
        <v>0</v>
      </c>
      <c r="Q211" s="568">
        <f t="shared" si="330"/>
        <v>0</v>
      </c>
      <c r="R211" s="567">
        <f t="shared" si="330"/>
        <v>-1.3696000000000002</v>
      </c>
      <c r="S211" s="686">
        <f t="shared" si="330"/>
        <v>0</v>
      </c>
      <c r="T211" s="567">
        <f t="shared" si="330"/>
        <v>0</v>
      </c>
      <c r="U211" s="567">
        <f t="shared" si="330"/>
        <v>0</v>
      </c>
      <c r="V211" s="567">
        <f t="shared" si="330"/>
        <v>0</v>
      </c>
      <c r="W211" s="686">
        <f t="shared" si="330"/>
        <v>0</v>
      </c>
      <c r="X211" s="567">
        <f t="shared" si="330"/>
        <v>-0.39400000000000002</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-4.5849600000000379E-2</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1285</v>
      </c>
      <c r="F212" s="444"/>
      <c r="G212" s="609" t="str">
        <f>InpCompany!$F$11</f>
        <v>£m (2017-18 prices)</v>
      </c>
      <c r="H212" s="616">
        <f t="shared" si="329"/>
        <v>-0.97775040000000402</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-0.24071040000000199</v>
      </c>
      <c r="AP212" s="567">
        <f t="shared" si="330"/>
        <v>0</v>
      </c>
      <c r="AQ212" s="567">
        <f t="shared" si="330"/>
        <v>0</v>
      </c>
      <c r="AR212" s="567">
        <f t="shared" si="330"/>
        <v>0</v>
      </c>
      <c r="AS212" s="567">
        <f t="shared" si="330"/>
        <v>-0.73704000000000203</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1291</v>
      </c>
      <c r="F219" s="444"/>
      <c r="G219" s="609" t="str">
        <f>InpCompany!$F$11</f>
        <v>£m (2017-18 prices)</v>
      </c>
      <c r="H219" s="616">
        <f t="shared" ref="H219:H225" si="336">SUM(J219:BS219)</f>
        <v>0.20307510000000001</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4.497408E-2</v>
      </c>
      <c r="AA219" s="567">
        <f t="shared" si="337"/>
        <v>0.15810102000000001</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1292</v>
      </c>
      <c r="F220" s="444"/>
      <c r="G220" s="609" t="str">
        <f>InpCompany!$F$11</f>
        <v>£m (2017-18 prices)</v>
      </c>
      <c r="H220" s="616">
        <f t="shared" si="336"/>
        <v>2.9278982580000008</v>
      </c>
      <c r="I220" s="617"/>
      <c r="J220" s="567">
        <f t="shared" si="337"/>
        <v>0</v>
      </c>
      <c r="K220" s="567">
        <f t="shared" si="337"/>
        <v>0</v>
      </c>
      <c r="L220" s="567">
        <f t="shared" si="337"/>
        <v>1.4999999999999999E-2</v>
      </c>
      <c r="M220" s="567">
        <f t="shared" si="338"/>
        <v>0.21559999999999999</v>
      </c>
      <c r="N220" s="567">
        <f t="shared" si="337"/>
        <v>0</v>
      </c>
      <c r="O220" s="567">
        <f t="shared" si="339"/>
        <v>0</v>
      </c>
      <c r="P220" s="567">
        <f t="shared" si="337"/>
        <v>0</v>
      </c>
      <c r="Q220" s="568">
        <f t="shared" si="337"/>
        <v>0</v>
      </c>
      <c r="R220" s="567">
        <f t="shared" si="337"/>
        <v>0</v>
      </c>
      <c r="S220" s="567">
        <f t="shared" si="337"/>
        <v>0</v>
      </c>
      <c r="T220" s="567">
        <f t="shared" si="337"/>
        <v>0.91025</v>
      </c>
      <c r="U220" s="567">
        <f t="shared" si="337"/>
        <v>0.69362000000000079</v>
      </c>
      <c r="V220" s="567">
        <f t="shared" si="337"/>
        <v>0.26340000000000002</v>
      </c>
      <c r="W220" s="567">
        <f t="shared" si="337"/>
        <v>0</v>
      </c>
      <c r="X220" s="567">
        <f t="shared" si="337"/>
        <v>0</v>
      </c>
      <c r="Y220" s="567">
        <f t="shared" si="337"/>
        <v>0</v>
      </c>
      <c r="Z220" s="567">
        <f t="shared" si="337"/>
        <v>0.18468864000000002</v>
      </c>
      <c r="AA220" s="567">
        <f t="shared" si="337"/>
        <v>0.64533961799999995</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1293</v>
      </c>
      <c r="F221" s="444"/>
      <c r="G221" s="609" t="str">
        <f>InpCompany!$F$11</f>
        <v>£m (2017-18 prices)</v>
      </c>
      <c r="H221" s="616">
        <f t="shared" si="336"/>
        <v>2.2109585960000002</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0.13897728000000001</v>
      </c>
      <c r="AA221" s="567">
        <f t="shared" si="337"/>
        <v>0.48580131600000004</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0.52982999999999991</v>
      </c>
      <c r="AM221" s="567">
        <f t="shared" si="337"/>
        <v>2.6909999999999955E-2</v>
      </c>
      <c r="AN221" s="567">
        <f t="shared" si="337"/>
        <v>0</v>
      </c>
      <c r="AO221" s="568">
        <f t="shared" si="337"/>
        <v>0</v>
      </c>
      <c r="AP221" s="567">
        <f t="shared" si="337"/>
        <v>0.35099999999999998</v>
      </c>
      <c r="AQ221" s="567">
        <f t="shared" si="337"/>
        <v>1.7239999999999998E-2</v>
      </c>
      <c r="AR221" s="567">
        <f t="shared" si="337"/>
        <v>0.66120000000000001</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1294</v>
      </c>
      <c r="F222" s="444"/>
      <c r="G222" s="609" t="str">
        <f>InpCompany!$F$11</f>
        <v>£m (2017-18 prices)</v>
      </c>
      <c r="H222" s="616">
        <f t="shared" si="336"/>
        <v>4.1681177999999999E-2</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4.1681177999999999E-2</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1295</v>
      </c>
      <c r="F223" s="444"/>
      <c r="G223" s="609" t="str">
        <f>InpCompany!$F$11</f>
        <v>£m (2017-18 prices)</v>
      </c>
      <c r="H223" s="616">
        <f t="shared" si="336"/>
        <v>1.4388588680000001</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1.3325</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0.106358868</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1300</v>
      </c>
      <c r="F229" s="444"/>
      <c r="G229" s="609" t="str">
        <f>InpCompany!$F$11</f>
        <v>£m (2017-18 prices)</v>
      </c>
      <c r="H229" s="616">
        <f t="shared" si="343"/>
        <v>-4.9743229333333332</v>
      </c>
      <c r="I229" s="617"/>
      <c r="J229" s="567">
        <f t="shared" si="344"/>
        <v>-1.9655400000000001</v>
      </c>
      <c r="K229" s="567">
        <f t="shared" si="344"/>
        <v>-1.1993333333333325</v>
      </c>
      <c r="L229" s="567">
        <f t="shared" si="344"/>
        <v>0</v>
      </c>
      <c r="M229" s="567">
        <f t="shared" si="345"/>
        <v>0</v>
      </c>
      <c r="N229" s="567">
        <f t="shared" si="344"/>
        <v>0</v>
      </c>
      <c r="O229" s="567">
        <f t="shared" si="346"/>
        <v>0</v>
      </c>
      <c r="P229" s="567">
        <f t="shared" si="344"/>
        <v>0</v>
      </c>
      <c r="Q229" s="568">
        <f t="shared" si="344"/>
        <v>0</v>
      </c>
      <c r="R229" s="567">
        <f t="shared" si="344"/>
        <v>-1.3696000000000002</v>
      </c>
      <c r="S229" s="567">
        <f t="shared" si="344"/>
        <v>0</v>
      </c>
      <c r="T229" s="567">
        <f t="shared" si="344"/>
        <v>0</v>
      </c>
      <c r="U229" s="567">
        <f t="shared" si="344"/>
        <v>0</v>
      </c>
      <c r="V229" s="567">
        <f t="shared" si="344"/>
        <v>0</v>
      </c>
      <c r="W229" s="567">
        <f t="shared" si="344"/>
        <v>0</v>
      </c>
      <c r="X229" s="567">
        <f t="shared" si="344"/>
        <v>-0.39400000000000002</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-4.5849600000000379E-2</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1301</v>
      </c>
      <c r="F230" s="444"/>
      <c r="G230" s="609" t="str">
        <f>InpCompany!$F$11</f>
        <v>£m (2017-18 prices)</v>
      </c>
      <c r="H230" s="616">
        <f t="shared" si="343"/>
        <v>-0.97775040000000402</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-0.24071040000000199</v>
      </c>
      <c r="AP230" s="567">
        <f t="shared" si="344"/>
        <v>0</v>
      </c>
      <c r="AQ230" s="567">
        <f t="shared" si="344"/>
        <v>0</v>
      </c>
      <c r="AR230" s="567">
        <f t="shared" si="344"/>
        <v>0</v>
      </c>
      <c r="AS230" s="567">
        <f t="shared" si="344"/>
        <v>-0.73704000000000203</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97" t="s">
        <v>1309</v>
      </c>
      <c r="F242" s="624">
        <f t="shared" ref="F242:F248" si="350">H201</f>
        <v>0.20307510000000001</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1310</v>
      </c>
      <c r="F243" s="624">
        <f t="shared" si="350"/>
        <v>2.9278982580000008</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1311</v>
      </c>
      <c r="F244" s="624">
        <f t="shared" si="350"/>
        <v>2.2109585960000002</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1312</v>
      </c>
      <c r="F245" s="624">
        <f t="shared" si="350"/>
        <v>4.1681177999999999E-2</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1313</v>
      </c>
      <c r="F246" s="624">
        <f t="shared" si="350"/>
        <v>1.4388588680000001</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1318</v>
      </c>
      <c r="F252" s="624">
        <f t="shared" si="351"/>
        <v>-6.9345229333333336</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1319</v>
      </c>
      <c r="F253" s="624">
        <f t="shared" si="351"/>
        <v>-0.97775040000000402</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97"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1325</v>
      </c>
      <c r="F260" s="616">
        <f t="shared" ref="F260:F266" si="352">H219</f>
        <v>0.20307510000000001</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1326</v>
      </c>
      <c r="F261" s="616">
        <f t="shared" si="352"/>
        <v>2.9278982580000008</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1327</v>
      </c>
      <c r="F262" s="616">
        <f t="shared" si="352"/>
        <v>2.2109585960000002</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1328</v>
      </c>
      <c r="F263" s="616">
        <f t="shared" si="352"/>
        <v>4.1681177999999999E-2</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1329</v>
      </c>
      <c r="F264" s="616">
        <f t="shared" si="352"/>
        <v>1.4388588680000001</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1333</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1334</v>
      </c>
      <c r="F270" s="1956">
        <f t="shared" si="353"/>
        <v>-4.9743229333333332</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1335</v>
      </c>
      <c r="F271" s="1956">
        <f t="shared" si="353"/>
        <v>-0.97775040000000402</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1336</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1337</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1338</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1339</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1349</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1351</v>
      </c>
      <c r="F288" s="1811">
        <f t="shared" si="355"/>
        <v>-1.9602000000000004</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1359</v>
      </c>
      <c r="F298" s="627">
        <f t="shared" ref="F298:F304" si="356">IF(F242=0,0,F260/F242)</f>
        <v>1</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1361</v>
      </c>
      <c r="F300" s="627">
        <f t="shared" si="356"/>
        <v>1</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1362</v>
      </c>
      <c r="F301" s="627">
        <f t="shared" si="356"/>
        <v>1</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1363</v>
      </c>
      <c r="F302" s="627">
        <f t="shared" si="356"/>
        <v>1</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409"/>
      <c r="B307" s="1409"/>
      <c r="C307" s="1409"/>
      <c r="D307" s="1409"/>
      <c r="E307" s="1397" t="s">
        <v>1367</v>
      </c>
      <c r="F307" s="627">
        <f t="shared" ref="F307:F313" si="357">IF(F269=0,0,F269/F251)</f>
        <v>0</v>
      </c>
      <c r="G307" s="623" t="s">
        <v>1061</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409"/>
      <c r="B308" s="1409"/>
      <c r="C308" s="1409"/>
      <c r="D308" s="1409"/>
      <c r="E308" s="623" t="s">
        <v>1368</v>
      </c>
      <c r="F308" s="627">
        <f>IF(F270=0,0,F270/F252)</f>
        <v>0.7173273462580132</v>
      </c>
      <c r="G308" s="623" t="s">
        <v>1061</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409"/>
      <c r="B309" s="1409"/>
      <c r="C309" s="1409"/>
      <c r="D309" s="1409"/>
      <c r="E309" s="623" t="s">
        <v>1369</v>
      </c>
      <c r="F309" s="627">
        <f t="shared" si="357"/>
        <v>1</v>
      </c>
      <c r="G309" s="623" t="s">
        <v>1061</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409"/>
      <c r="B310" s="1409"/>
      <c r="C310" s="1409"/>
      <c r="D310" s="1409"/>
      <c r="E310" s="623" t="s">
        <v>1370</v>
      </c>
      <c r="F310" s="627">
        <f t="shared" si="357"/>
        <v>0</v>
      </c>
      <c r="G310" s="623" t="s">
        <v>1061</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409"/>
      <c r="B311" s="1409"/>
      <c r="C311" s="1409"/>
      <c r="D311" s="1409"/>
      <c r="E311" s="623" t="s">
        <v>1371</v>
      </c>
      <c r="F311" s="627">
        <f t="shared" si="357"/>
        <v>0</v>
      </c>
      <c r="G311" s="623" t="s">
        <v>1061</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409"/>
      <c r="B312" s="1409"/>
      <c r="C312" s="1409"/>
      <c r="D312" s="1409"/>
      <c r="E312" s="623" t="s">
        <v>1372</v>
      </c>
      <c r="F312" s="627">
        <f t="shared" si="357"/>
        <v>0</v>
      </c>
      <c r="G312" s="623" t="s">
        <v>1061</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409"/>
      <c r="B313" s="1409"/>
      <c r="C313" s="1409"/>
      <c r="D313" s="1409"/>
      <c r="E313" s="623" t="s">
        <v>1373</v>
      </c>
      <c r="F313" s="627">
        <f t="shared" si="357"/>
        <v>0</v>
      </c>
      <c r="G313" s="623" t="s">
        <v>1061</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1376</v>
      </c>
      <c r="F318" s="1959">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1378</v>
      </c>
      <c r="F319" s="1959">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1380</v>
      </c>
      <c r="F320" s="1960">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1381</v>
      </c>
      <c r="F321" s="1960">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1382</v>
      </c>
      <c r="F322" s="1960">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1383</v>
      </c>
      <c r="F323" s="1960">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1384</v>
      </c>
      <c r="F324" s="1960">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1386</v>
      </c>
      <c r="F327" s="1959">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1388</v>
      </c>
      <c r="F328" s="1959">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1390</v>
      </c>
      <c r="F329" s="1960">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1391</v>
      </c>
      <c r="F330" s="1960">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1392</v>
      </c>
      <c r="F331" s="1960">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1393</v>
      </c>
      <c r="F332" s="1960">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1394</v>
      </c>
      <c r="F333" s="1960">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Northumbrian Water</v>
      </c>
    </row>
    <row r="2" spans="1:17" s="201" customFormat="1" ht="13">
      <c r="A2" s="444"/>
      <c r="B2" s="444"/>
      <c r="C2" s="444"/>
      <c r="D2" s="444"/>
      <c r="E2" s="444"/>
      <c r="F2" s="453" t="s">
        <v>1045</v>
      </c>
      <c r="G2" s="453" t="s">
        <v>131</v>
      </c>
      <c r="H2" s="453" t="s">
        <v>1046</v>
      </c>
      <c r="I2" s="454"/>
      <c r="J2" s="444"/>
      <c r="K2" s="444"/>
      <c r="L2" s="444"/>
    </row>
    <row r="3" spans="1:17" s="205" customFormat="1" ht="13">
      <c r="A3" s="632" t="s">
        <v>1063</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1114</v>
      </c>
      <c r="K4" s="637" t="s">
        <v>1115</v>
      </c>
      <c r="L4" s="637" t="s">
        <v>1395</v>
      </c>
      <c r="O4" s="215"/>
      <c r="Q4" s="215"/>
    </row>
    <row r="5" spans="1:17" s="232" customFormat="1" ht="13">
      <c r="A5" s="638"/>
      <c r="B5" s="639"/>
      <c r="C5" s="640" t="s">
        <v>1396</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1308</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0.20307510000000001</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2.9278982580000008</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2.2109585960000002</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4.1681177999999999E-2</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1.4388588680000001</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1397</v>
      </c>
      <c r="E16" s="446"/>
      <c r="F16" s="446"/>
      <c r="G16" s="462"/>
      <c r="H16" s="446"/>
      <c r="I16" s="446"/>
      <c r="J16" s="451"/>
      <c r="K16" s="451"/>
      <c r="L16" s="451"/>
      <c r="M16" s="210"/>
      <c r="O16" s="210"/>
      <c r="Q16" s="210"/>
    </row>
    <row r="17" spans="1:17" ht="13">
      <c r="A17" s="446"/>
      <c r="B17" s="446"/>
      <c r="C17" s="446"/>
      <c r="D17" s="446"/>
      <c r="E17" s="444" t="s">
        <v>1398</v>
      </c>
      <c r="F17" s="446"/>
      <c r="G17" s="462" t="str">
        <f>InpCompany!$F$11</f>
        <v>£m (2017-18 prices)</v>
      </c>
      <c r="H17" s="446"/>
      <c r="I17" s="446"/>
      <c r="J17" s="481">
        <f>F8</f>
        <v>0.20307510000000001</v>
      </c>
      <c r="K17" s="446"/>
      <c r="L17" s="446"/>
      <c r="O17" s="210"/>
      <c r="Q17" s="210"/>
    </row>
    <row r="18" spans="1:17" ht="13">
      <c r="A18" s="446"/>
      <c r="B18" s="446"/>
      <c r="C18" s="446"/>
      <c r="D18" s="446"/>
      <c r="E18" s="444" t="s">
        <v>1399</v>
      </c>
      <c r="F18" s="446"/>
      <c r="G18" s="462" t="str">
        <f>InpCompany!$F$11</f>
        <v>£m (2017-18 prices)</v>
      </c>
      <c r="H18" s="446"/>
      <c r="I18" s="446"/>
      <c r="J18" s="481">
        <f>F9</f>
        <v>2.9278982580000008</v>
      </c>
      <c r="K18" s="446"/>
      <c r="L18" s="446"/>
      <c r="O18" s="210"/>
      <c r="Q18" s="210"/>
    </row>
    <row r="19" spans="1:17" ht="13">
      <c r="A19" s="446"/>
      <c r="B19" s="446"/>
      <c r="C19" s="446"/>
      <c r="D19" s="446"/>
      <c r="E19" s="444" t="s">
        <v>1400</v>
      </c>
      <c r="F19" s="446"/>
      <c r="G19" s="462" t="str">
        <f>InpCompany!$F$11</f>
        <v>£m (2017-18 prices)</v>
      </c>
      <c r="H19" s="446"/>
      <c r="I19" s="446"/>
      <c r="J19" s="643"/>
      <c r="K19" s="481">
        <f>F10</f>
        <v>2.2109585960000002</v>
      </c>
      <c r="L19" s="446"/>
      <c r="O19" s="210"/>
      <c r="Q19" s="210"/>
    </row>
    <row r="20" spans="1:17" ht="13">
      <c r="A20" s="446"/>
      <c r="B20" s="446"/>
      <c r="C20" s="446"/>
      <c r="D20" s="446"/>
      <c r="E20" s="444" t="s">
        <v>1401</v>
      </c>
      <c r="F20" s="446"/>
      <c r="G20" s="462" t="str">
        <f>InpCompany!$F$11</f>
        <v>£m (2017-18 prices)</v>
      </c>
      <c r="H20" s="446"/>
      <c r="I20" s="446"/>
      <c r="J20" s="643"/>
      <c r="K20" s="481">
        <f>F11</f>
        <v>4.1681177999999999E-2</v>
      </c>
      <c r="L20" s="446"/>
      <c r="O20" s="210"/>
      <c r="Q20" s="210"/>
    </row>
    <row r="21" spans="1:17" ht="13">
      <c r="A21" s="446"/>
      <c r="B21" s="446"/>
      <c r="C21" s="446"/>
      <c r="D21" s="446"/>
      <c r="E21" s="444" t="s">
        <v>1402</v>
      </c>
      <c r="F21" s="446"/>
      <c r="G21" s="462" t="str">
        <f>InpCompany!$F$11</f>
        <v>£m (2017-18 prices)</v>
      </c>
      <c r="H21" s="446"/>
      <c r="I21" s="446"/>
      <c r="J21" s="643"/>
      <c r="K21" s="446"/>
      <c r="L21" s="481">
        <f>F12</f>
        <v>1.4388588680000001</v>
      </c>
      <c r="O21" s="210"/>
      <c r="Q21" s="210"/>
    </row>
    <row r="22" spans="1:17" ht="13">
      <c r="A22" s="446"/>
      <c r="B22" s="446"/>
      <c r="C22" s="446"/>
      <c r="D22" s="446"/>
      <c r="E22" s="444" t="s">
        <v>1403</v>
      </c>
      <c r="F22" s="446"/>
      <c r="G22" s="462" t="str">
        <f>InpCompany!$F$11</f>
        <v>£m (2017-18 prices)</v>
      </c>
      <c r="H22" s="446"/>
      <c r="I22" s="446"/>
      <c r="J22" s="643"/>
      <c r="K22" s="446"/>
      <c r="L22" s="481">
        <f>F13</f>
        <v>0</v>
      </c>
      <c r="O22" s="210"/>
      <c r="Q22" s="210"/>
    </row>
    <row r="23" spans="1:17" ht="13">
      <c r="A23" s="446"/>
      <c r="B23" s="446"/>
      <c r="C23" s="446"/>
      <c r="D23" s="446"/>
      <c r="E23" s="444" t="s">
        <v>1404</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1405</v>
      </c>
      <c r="F25" s="446"/>
      <c r="G25" s="462" t="str">
        <f>InpCompany!$F$11</f>
        <v>£m (2017-18 prices)</v>
      </c>
      <c r="H25" s="446"/>
      <c r="I25" s="446"/>
      <c r="J25" s="481">
        <f>SUM(J17:J23)</f>
        <v>3.1309733580000008</v>
      </c>
      <c r="K25" s="481">
        <f>SUM(K17:K23)</f>
        <v>2.2526397740000004</v>
      </c>
      <c r="L25" s="481">
        <f>SUM(L17:L23)</f>
        <v>1.4388588680000001</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1406</v>
      </c>
      <c r="E27" s="446"/>
      <c r="F27" s="446"/>
      <c r="G27" s="462"/>
      <c r="H27" s="446"/>
      <c r="I27" s="446"/>
      <c r="J27" s="446"/>
      <c r="K27" s="643"/>
      <c r="L27" s="446"/>
      <c r="O27" s="210"/>
      <c r="Q27" s="210"/>
    </row>
    <row r="28" spans="1:17" ht="13">
      <c r="A28" s="446"/>
      <c r="B28" s="446"/>
      <c r="C28" s="446"/>
      <c r="D28" s="446"/>
      <c r="E28" s="644" t="s">
        <v>1407</v>
      </c>
      <c r="F28" s="644"/>
      <c r="G28" s="646" t="s">
        <v>1408</v>
      </c>
      <c r="H28" s="644"/>
      <c r="I28" s="644"/>
      <c r="J28" s="645">
        <f>InpCompany!$F$17</f>
        <v>2147.9270000000001</v>
      </c>
      <c r="K28" s="645">
        <f>InpCompany!$F$21</f>
        <v>2104.9549999999999</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1410</v>
      </c>
      <c r="F31" s="446"/>
      <c r="G31" s="462" t="str">
        <f>InpCompany!$F$11</f>
        <v>£m (2017-18 prices)</v>
      </c>
      <c r="H31" s="446"/>
      <c r="I31" s="446"/>
      <c r="J31" s="643">
        <f>J28*J29*J30</f>
        <v>25.775124000000002</v>
      </c>
      <c r="K31" s="643">
        <f>K28*K29*K30</f>
        <v>25.259459999999997</v>
      </c>
      <c r="L31" s="643"/>
      <c r="O31" s="210"/>
      <c r="Q31" s="210"/>
    </row>
    <row r="32" spans="1:17" ht="13">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1414</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1415</v>
      </c>
      <c r="E38" s="446"/>
      <c r="F38" s="446"/>
      <c r="G38" s="462"/>
      <c r="H38" s="446"/>
      <c r="I38" s="446"/>
      <c r="J38" s="643"/>
      <c r="K38" s="643"/>
      <c r="L38" s="643"/>
      <c r="O38" s="233"/>
      <c r="Q38" s="233"/>
    </row>
    <row r="39" spans="1:17" ht="13">
      <c r="A39" s="446"/>
      <c r="B39" s="446"/>
      <c r="C39" s="446"/>
      <c r="D39" s="446"/>
      <c r="E39" s="444" t="s">
        <v>1416</v>
      </c>
      <c r="F39" s="446"/>
      <c r="G39" s="462" t="str">
        <f>InpCompany!$F$11</f>
        <v>£m (2017-18 prices)</v>
      </c>
      <c r="H39" s="446"/>
      <c r="I39" s="446"/>
      <c r="J39" s="569">
        <f>IFERROR(J17/J$25,0)</f>
        <v>6.4860053657473493E-2</v>
      </c>
      <c r="K39" s="569">
        <f t="shared" ref="J39:L45" si="0">IFERROR(K17/K$25,0)</f>
        <v>0</v>
      </c>
      <c r="L39" s="569">
        <f>IFERROR(L17/L$25,0)</f>
        <v>0</v>
      </c>
      <c r="O39" s="233"/>
      <c r="Q39" s="233"/>
    </row>
    <row r="40" spans="1:17" ht="13">
      <c r="A40" s="446"/>
      <c r="B40" s="446"/>
      <c r="C40" s="446"/>
      <c r="D40" s="446"/>
      <c r="E40" s="444" t="s">
        <v>1417</v>
      </c>
      <c r="F40" s="446"/>
      <c r="G40" s="462" t="str">
        <f>InpCompany!$F$11</f>
        <v>£m (2017-18 prices)</v>
      </c>
      <c r="H40" s="446"/>
      <c r="I40" s="446"/>
      <c r="J40" s="569">
        <f t="shared" si="0"/>
        <v>0.93513994634252651</v>
      </c>
      <c r="K40" s="569">
        <f t="shared" si="0"/>
        <v>0</v>
      </c>
      <c r="L40" s="569">
        <f t="shared" si="0"/>
        <v>0</v>
      </c>
      <c r="O40" s="233"/>
      <c r="Q40" s="233"/>
    </row>
    <row r="41" spans="1:17" ht="13">
      <c r="A41" s="446"/>
      <c r="B41" s="446"/>
      <c r="C41" s="446"/>
      <c r="D41" s="446"/>
      <c r="E41" s="444" t="s">
        <v>1418</v>
      </c>
      <c r="F41" s="446"/>
      <c r="G41" s="462" t="str">
        <f>InpCompany!$F$11</f>
        <v>£m (2017-18 prices)</v>
      </c>
      <c r="H41" s="446"/>
      <c r="I41" s="446"/>
      <c r="J41" s="569">
        <f t="shared" si="0"/>
        <v>0</v>
      </c>
      <c r="K41" s="569">
        <f t="shared" si="0"/>
        <v>0.98149674063244163</v>
      </c>
      <c r="L41" s="569">
        <f t="shared" si="0"/>
        <v>0</v>
      </c>
      <c r="O41" s="233"/>
      <c r="Q41" s="233"/>
    </row>
    <row r="42" spans="1:17" ht="13">
      <c r="A42" s="446"/>
      <c r="B42" s="446"/>
      <c r="C42" s="446"/>
      <c r="D42" s="446"/>
      <c r="E42" s="444" t="s">
        <v>1419</v>
      </c>
      <c r="F42" s="446"/>
      <c r="G42" s="462" t="str">
        <f>InpCompany!$F$11</f>
        <v>£m (2017-18 prices)</v>
      </c>
      <c r="H42" s="446"/>
      <c r="I42" s="446"/>
      <c r="J42" s="569">
        <f t="shared" si="0"/>
        <v>0</v>
      </c>
      <c r="K42" s="569">
        <f t="shared" si="0"/>
        <v>1.8503259367558336E-2</v>
      </c>
      <c r="L42" s="569">
        <f t="shared" si="0"/>
        <v>0</v>
      </c>
      <c r="O42" s="233"/>
      <c r="Q42" s="233"/>
    </row>
    <row r="43" spans="1:17" ht="13">
      <c r="A43" s="446"/>
      <c r="B43" s="446"/>
      <c r="C43" s="446"/>
      <c r="D43" s="446"/>
      <c r="E43" s="444" t="s">
        <v>1420</v>
      </c>
      <c r="F43" s="446"/>
      <c r="G43" s="462" t="str">
        <f>InpCompany!$F$11</f>
        <v>£m (2017-18 prices)</v>
      </c>
      <c r="H43" s="446"/>
      <c r="I43" s="446"/>
      <c r="J43" s="569">
        <f t="shared" si="0"/>
        <v>0</v>
      </c>
      <c r="K43" s="569">
        <f t="shared" si="0"/>
        <v>0</v>
      </c>
      <c r="L43" s="569">
        <f t="shared" si="0"/>
        <v>1</v>
      </c>
      <c r="O43" s="233"/>
      <c r="Q43" s="233"/>
    </row>
    <row r="44" spans="1:17" ht="13">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353"/>
      <c r="F46" s="446"/>
      <c r="G46" s="462"/>
      <c r="H46" s="446"/>
      <c r="I46" s="446"/>
      <c r="J46" s="579"/>
      <c r="K46" s="648"/>
      <c r="L46" s="648"/>
      <c r="O46" s="233"/>
      <c r="Q46" s="233"/>
    </row>
    <row r="47" spans="1:17" ht="14.5">
      <c r="A47" s="446"/>
      <c r="B47" s="446"/>
      <c r="C47" s="446"/>
      <c r="D47" s="451" t="str">
        <f>E34</f>
        <v>Outperformance payments shared with customers (£m)</v>
      </c>
      <c r="E47" s="1353"/>
      <c r="F47" s="446"/>
      <c r="G47" s="462"/>
      <c r="H47" s="446"/>
      <c r="I47" s="446"/>
      <c r="J47" s="643"/>
      <c r="K47" s="643"/>
      <c r="L47" s="643"/>
      <c r="O47" s="233"/>
      <c r="Q47" s="233"/>
    </row>
    <row r="48" spans="1:17" ht="13">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353"/>
      <c r="F55" s="446"/>
      <c r="G55" s="462"/>
      <c r="H55" s="446"/>
      <c r="I55" s="446"/>
      <c r="J55" s="446"/>
      <c r="K55" s="446"/>
      <c r="L55" s="446"/>
      <c r="O55" s="233"/>
      <c r="Q55" s="233"/>
    </row>
    <row r="56" spans="1:17" ht="13">
      <c r="A56" s="446"/>
      <c r="B56" s="446"/>
      <c r="C56" s="446"/>
      <c r="D56" s="451" t="s">
        <v>1430</v>
      </c>
      <c r="E56" s="451"/>
      <c r="F56" s="451"/>
      <c r="G56" s="654"/>
      <c r="H56" s="446"/>
      <c r="I56" s="446"/>
      <c r="J56" s="446"/>
      <c r="K56" s="446"/>
      <c r="L56" s="446"/>
      <c r="O56" s="233"/>
      <c r="Q56" s="233"/>
    </row>
    <row r="57" spans="1:17" ht="13">
      <c r="A57" s="446"/>
      <c r="B57" s="446"/>
      <c r="C57" s="446"/>
      <c r="D57" s="446"/>
      <c r="E57" s="444" t="s">
        <v>1431</v>
      </c>
      <c r="F57" s="446"/>
      <c r="G57" s="462" t="str">
        <f>InpCompany!$F$11</f>
        <v>£m (2017-18 prices)</v>
      </c>
      <c r="H57" s="620">
        <f t="shared" ref="H57:H63" si="2">J57+K57+L57</f>
        <v>0.20307510000000001</v>
      </c>
      <c r="I57" s="620"/>
      <c r="J57" s="481">
        <f t="shared" ref="J57:L63" si="3">J17-J48</f>
        <v>0.20307510000000001</v>
      </c>
      <c r="K57" s="481">
        <f t="shared" si="3"/>
        <v>0</v>
      </c>
      <c r="L57" s="481">
        <f t="shared" si="3"/>
        <v>0</v>
      </c>
    </row>
    <row r="58" spans="1:17" ht="13">
      <c r="A58" s="446"/>
      <c r="B58" s="446"/>
      <c r="C58" s="446"/>
      <c r="D58" s="446"/>
      <c r="E58" s="444" t="s">
        <v>1432</v>
      </c>
      <c r="F58" s="446"/>
      <c r="G58" s="462" t="str">
        <f>InpCompany!$F$11</f>
        <v>£m (2017-18 prices)</v>
      </c>
      <c r="H58" s="620">
        <f t="shared" si="2"/>
        <v>2.9278982580000008</v>
      </c>
      <c r="I58" s="620"/>
      <c r="J58" s="481">
        <f t="shared" si="3"/>
        <v>2.9278982580000008</v>
      </c>
      <c r="K58" s="481">
        <f t="shared" si="3"/>
        <v>0</v>
      </c>
      <c r="L58" s="481">
        <f t="shared" si="3"/>
        <v>0</v>
      </c>
    </row>
    <row r="59" spans="1:17" ht="13">
      <c r="A59" s="446"/>
      <c r="B59" s="446"/>
      <c r="C59" s="446"/>
      <c r="D59" s="446"/>
      <c r="E59" s="444" t="s">
        <v>1433</v>
      </c>
      <c r="F59" s="446"/>
      <c r="G59" s="462" t="str">
        <f>InpCompany!$F$11</f>
        <v>£m (2017-18 prices)</v>
      </c>
      <c r="H59" s="620">
        <f t="shared" si="2"/>
        <v>2.2109585960000002</v>
      </c>
      <c r="I59" s="620"/>
      <c r="J59" s="481">
        <f t="shared" si="3"/>
        <v>0</v>
      </c>
      <c r="K59" s="481">
        <f t="shared" si="3"/>
        <v>2.2109585960000002</v>
      </c>
      <c r="L59" s="481">
        <f t="shared" si="3"/>
        <v>0</v>
      </c>
    </row>
    <row r="60" spans="1:17" ht="13">
      <c r="A60" s="446"/>
      <c r="B60" s="446"/>
      <c r="C60" s="446"/>
      <c r="D60" s="446"/>
      <c r="E60" s="444" t="s">
        <v>1434</v>
      </c>
      <c r="F60" s="446"/>
      <c r="G60" s="462" t="str">
        <f>InpCompany!$F$11</f>
        <v>£m (2017-18 prices)</v>
      </c>
      <c r="H60" s="620">
        <f t="shared" si="2"/>
        <v>4.1681177999999999E-2</v>
      </c>
      <c r="I60" s="620"/>
      <c r="J60" s="481">
        <f t="shared" si="3"/>
        <v>0</v>
      </c>
      <c r="K60" s="481">
        <f t="shared" si="3"/>
        <v>4.1681177999999999E-2</v>
      </c>
      <c r="L60" s="481">
        <f t="shared" si="3"/>
        <v>0</v>
      </c>
    </row>
    <row r="61" spans="1:17" ht="13">
      <c r="A61" s="446"/>
      <c r="B61" s="446"/>
      <c r="C61" s="446"/>
      <c r="D61" s="446"/>
      <c r="E61" s="444" t="s">
        <v>1435</v>
      </c>
      <c r="F61" s="446"/>
      <c r="G61" s="462" t="str">
        <f>InpCompany!$F$11</f>
        <v>£m (2017-18 prices)</v>
      </c>
      <c r="H61" s="620">
        <f t="shared" si="2"/>
        <v>1.4388588680000001</v>
      </c>
      <c r="I61" s="620"/>
      <c r="J61" s="481">
        <f t="shared" si="3"/>
        <v>0</v>
      </c>
      <c r="K61" s="481">
        <f t="shared" si="3"/>
        <v>0</v>
      </c>
      <c r="L61" s="481">
        <f t="shared" si="3"/>
        <v>1.4388588680000001</v>
      </c>
    </row>
    <row r="62" spans="1:17" ht="13">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1438</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1439</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1</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1440</v>
      </c>
      <c r="E76" s="446"/>
      <c r="F76" s="446"/>
      <c r="G76" s="654"/>
      <c r="H76" s="451"/>
      <c r="I76" s="451"/>
      <c r="J76" s="446"/>
      <c r="K76" s="446"/>
      <c r="L76" s="446"/>
    </row>
    <row r="77" spans="1:12" ht="13">
      <c r="A77" s="446"/>
      <c r="B77" s="446"/>
      <c r="C77" s="446"/>
      <c r="D77" s="446"/>
      <c r="E77" s="623" t="s">
        <v>1441</v>
      </c>
      <c r="F77" s="626">
        <f>H57*F68</f>
        <v>0.20307510000000001</v>
      </c>
      <c r="G77" s="656" t="str">
        <f>InpCompany!$F$11</f>
        <v>£m (2017-18 prices)</v>
      </c>
      <c r="H77" s="446"/>
      <c r="I77" s="657"/>
      <c r="J77" s="446"/>
      <c r="K77" s="446"/>
      <c r="L77" s="446"/>
    </row>
    <row r="78" spans="1:12" ht="13">
      <c r="A78" s="446"/>
      <c r="B78" s="446"/>
      <c r="C78" s="446"/>
      <c r="D78" s="446"/>
      <c r="E78" s="623" t="s">
        <v>1442</v>
      </c>
      <c r="F78" s="626">
        <f t="shared" ref="F78:F83" si="4">H58*F69</f>
        <v>2.9278982580000008</v>
      </c>
      <c r="G78" s="656" t="str">
        <f>InpCompany!$F$11</f>
        <v>£m (2017-18 prices)</v>
      </c>
      <c r="H78" s="446"/>
      <c r="I78" s="657"/>
      <c r="J78" s="446"/>
      <c r="K78" s="446"/>
      <c r="L78" s="446"/>
    </row>
    <row r="79" spans="1:12" ht="13">
      <c r="A79" s="446"/>
      <c r="B79" s="446"/>
      <c r="C79" s="446"/>
      <c r="D79" s="446"/>
      <c r="E79" s="623" t="s">
        <v>1443</v>
      </c>
      <c r="F79" s="626">
        <f t="shared" si="4"/>
        <v>2.2109585960000002</v>
      </c>
      <c r="G79" s="656" t="str">
        <f>InpCompany!$F$11</f>
        <v>£m (2017-18 prices)</v>
      </c>
      <c r="H79" s="446"/>
      <c r="I79" s="657"/>
      <c r="J79" s="446"/>
      <c r="K79" s="446"/>
      <c r="L79" s="446"/>
    </row>
    <row r="80" spans="1:12" ht="13">
      <c r="A80" s="446"/>
      <c r="B80" s="446"/>
      <c r="C80" s="446"/>
      <c r="D80" s="446"/>
      <c r="E80" s="623" t="s">
        <v>1444</v>
      </c>
      <c r="F80" s="626">
        <f t="shared" si="4"/>
        <v>4.1681177999999999E-2</v>
      </c>
      <c r="G80" s="656" t="str">
        <f>InpCompany!$F$11</f>
        <v>£m (2017-18 prices)</v>
      </c>
      <c r="H80" s="446"/>
      <c r="I80" s="657"/>
      <c r="J80" s="446"/>
      <c r="K80" s="446"/>
      <c r="L80" s="446"/>
    </row>
    <row r="81" spans="1:12" ht="13">
      <c r="A81" s="446"/>
      <c r="B81" s="446"/>
      <c r="C81" s="446"/>
      <c r="D81" s="446"/>
      <c r="E81" s="623" t="s">
        <v>1445</v>
      </c>
      <c r="F81" s="626">
        <f t="shared" si="4"/>
        <v>1.4388588680000001</v>
      </c>
      <c r="G81" s="656" t="str">
        <f>InpCompany!$F$11</f>
        <v>£m (2017-18 prices)</v>
      </c>
      <c r="H81" s="446"/>
      <c r="I81" s="657"/>
      <c r="J81" s="446"/>
      <c r="K81" s="446"/>
      <c r="L81" s="446"/>
    </row>
    <row r="82" spans="1:12" ht="13">
      <c r="A82" s="446"/>
      <c r="B82" s="446"/>
      <c r="C82" s="446"/>
      <c r="D82" s="446"/>
      <c r="E82" s="623" t="s">
        <v>1446</v>
      </c>
      <c r="F82" s="626">
        <f t="shared" si="4"/>
        <v>0</v>
      </c>
      <c r="G82" s="656" t="str">
        <f>InpCompany!$F$11</f>
        <v>£m (2017-18 prices)</v>
      </c>
      <c r="H82" s="446"/>
      <c r="I82" s="657"/>
      <c r="J82" s="446"/>
      <c r="K82" s="446"/>
      <c r="L82" s="446"/>
    </row>
    <row r="83" spans="1:12" ht="13">
      <c r="A83" s="446"/>
      <c r="B83" s="446"/>
      <c r="C83" s="446"/>
      <c r="D83" s="446"/>
      <c r="E83" s="623" t="s">
        <v>1447</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1448</v>
      </c>
      <c r="E85" s="26"/>
      <c r="F85" s="446"/>
      <c r="G85" s="659"/>
      <c r="H85" s="658"/>
      <c r="I85" s="658"/>
      <c r="J85" s="446"/>
      <c r="K85" s="446"/>
      <c r="L85" s="446"/>
    </row>
    <row r="86" spans="1:12" ht="13">
      <c r="A86" s="446"/>
      <c r="B86" s="446"/>
      <c r="C86" s="446"/>
      <c r="D86" s="446"/>
      <c r="E86" s="623" t="s">
        <v>1449</v>
      </c>
      <c r="F86" s="626">
        <f t="shared" ref="F86:F92" si="5">H57*(1-F68)</f>
        <v>0</v>
      </c>
      <c r="G86" s="656" t="str">
        <f>InpCompany!$F$11</f>
        <v>£m (2017-18 prices)</v>
      </c>
      <c r="H86" s="446"/>
      <c r="I86" s="657"/>
      <c r="J86" s="446"/>
      <c r="K86" s="446"/>
      <c r="L86" s="446"/>
    </row>
    <row r="87" spans="1:12" ht="13">
      <c r="A87" s="446"/>
      <c r="B87" s="446"/>
      <c r="C87" s="446"/>
      <c r="D87" s="446"/>
      <c r="E87" s="623" t="s">
        <v>1450</v>
      </c>
      <c r="F87" s="626">
        <f t="shared" si="5"/>
        <v>0</v>
      </c>
      <c r="G87" s="656" t="str">
        <f>InpCompany!$F$11</f>
        <v>£m (2017-18 prices)</v>
      </c>
      <c r="H87" s="446"/>
      <c r="I87" s="657"/>
      <c r="J87" s="446"/>
      <c r="K87" s="446"/>
      <c r="L87" s="446"/>
    </row>
    <row r="88" spans="1:12" ht="13">
      <c r="A88" s="446"/>
      <c r="B88" s="446"/>
      <c r="C88" s="446"/>
      <c r="D88" s="446"/>
      <c r="E88" s="623" t="s">
        <v>1451</v>
      </c>
      <c r="F88" s="626">
        <f t="shared" si="5"/>
        <v>0</v>
      </c>
      <c r="G88" s="656" t="str">
        <f>InpCompany!$F$11</f>
        <v>£m (2017-18 prices)</v>
      </c>
      <c r="H88" s="446"/>
      <c r="I88" s="657"/>
      <c r="J88" s="446"/>
      <c r="K88" s="446"/>
      <c r="L88" s="446"/>
    </row>
    <row r="89" spans="1:12" ht="13">
      <c r="A89" s="446"/>
      <c r="B89" s="446"/>
      <c r="C89" s="446"/>
      <c r="D89" s="446"/>
      <c r="E89" s="623" t="s">
        <v>1452</v>
      </c>
      <c r="F89" s="626">
        <f t="shared" si="5"/>
        <v>0</v>
      </c>
      <c r="G89" s="656" t="str">
        <f>InpCompany!$F$11</f>
        <v>£m (2017-18 prices)</v>
      </c>
      <c r="H89" s="446"/>
      <c r="I89" s="657"/>
      <c r="J89" s="446"/>
      <c r="K89" s="446"/>
      <c r="L89" s="446"/>
    </row>
    <row r="90" spans="1:12" ht="13">
      <c r="A90" s="446"/>
      <c r="B90" s="446"/>
      <c r="C90" s="446"/>
      <c r="D90" s="446"/>
      <c r="E90" s="623" t="s">
        <v>1453</v>
      </c>
      <c r="F90" s="626">
        <f t="shared" si="5"/>
        <v>0</v>
      </c>
      <c r="G90" s="656" t="str">
        <f>InpCompany!$F$11</f>
        <v>£m (2017-18 prices)</v>
      </c>
      <c r="H90" s="446"/>
      <c r="I90" s="657"/>
      <c r="J90" s="446"/>
      <c r="K90" s="446"/>
      <c r="L90" s="446"/>
    </row>
    <row r="91" spans="1:12" ht="13">
      <c r="A91" s="446"/>
      <c r="B91" s="446"/>
      <c r="C91" s="446"/>
      <c r="D91" s="446"/>
      <c r="E91" s="623" t="s">
        <v>1454</v>
      </c>
      <c r="F91" s="626">
        <f t="shared" si="5"/>
        <v>0</v>
      </c>
      <c r="G91" s="656" t="str">
        <f>InpCompany!$F$11</f>
        <v>£m (2017-18 prices)</v>
      </c>
      <c r="H91" s="446"/>
      <c r="I91" s="657"/>
      <c r="J91" s="446"/>
      <c r="K91" s="446"/>
      <c r="L91" s="446"/>
    </row>
    <row r="92" spans="1:12" ht="13">
      <c r="A92" s="446"/>
      <c r="B92" s="446"/>
      <c r="C92" s="446"/>
      <c r="D92" s="446"/>
      <c r="E92" s="623" t="s">
        <v>1455</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1456</v>
      </c>
      <c r="B94" s="633"/>
      <c r="C94" s="633"/>
      <c r="D94" s="634"/>
      <c r="E94" s="635"/>
      <c r="F94" s="635"/>
      <c r="G94" s="635"/>
      <c r="H94" s="636"/>
      <c r="I94" s="635"/>
      <c r="J94" s="635"/>
      <c r="K94" s="635"/>
      <c r="L94" s="635"/>
    </row>
    <row r="95" spans="1:12" s="1386" customFormat="1" ht="13">
      <c r="A95" s="1382"/>
      <c r="B95" s="1382"/>
      <c r="C95" s="1382"/>
      <c r="D95" s="1382"/>
      <c r="E95" s="608"/>
      <c r="F95" s="1383"/>
      <c r="G95" s="1384"/>
      <c r="H95" s="1382"/>
      <c r="I95" s="1385"/>
      <c r="J95" s="1398" t="s">
        <v>1114</v>
      </c>
      <c r="K95" s="1398" t="s">
        <v>1115</v>
      </c>
      <c r="L95" s="1398" t="s">
        <v>1395</v>
      </c>
    </row>
    <row r="96" spans="1:12" s="1386" customFormat="1" ht="13">
      <c r="A96" s="1382"/>
      <c r="B96" s="1382"/>
      <c r="C96" s="1399" t="s">
        <v>1457</v>
      </c>
      <c r="D96" s="1382"/>
      <c r="E96" s="608"/>
      <c r="F96" s="1383"/>
      <c r="G96" s="1384"/>
      <c r="H96" s="1382"/>
      <c r="I96" s="1385"/>
      <c r="J96" s="1382"/>
      <c r="K96" s="1382"/>
      <c r="L96" s="1382"/>
    </row>
    <row r="97" spans="1:12" s="234" customFormat="1" ht="13">
      <c r="A97" s="644"/>
      <c r="B97" s="1427"/>
      <c r="C97" s="1427"/>
      <c r="D97" s="1427"/>
      <c r="E97" s="596" t="str">
        <f>InpCompany!E5</f>
        <v>Company name</v>
      </c>
      <c r="F97" s="596" t="str">
        <f>InpCompany!F5</f>
        <v>Northumbrian Water</v>
      </c>
      <c r="G97" s="596"/>
      <c r="H97" s="574"/>
      <c r="I97" s="645"/>
      <c r="J97" s="644"/>
      <c r="K97" s="644"/>
      <c r="L97" s="644"/>
    </row>
    <row r="98" spans="1:12" s="234" customFormat="1" ht="13">
      <c r="A98" s="644"/>
      <c r="B98" s="1427"/>
      <c r="C98" s="1427"/>
      <c r="D98" s="1427"/>
      <c r="E98" s="596" t="str">
        <f>InpCompany!E6</f>
        <v>Ofwat company acronym</v>
      </c>
      <c r="F98" s="596" t="str">
        <f>InpCompany!F6</f>
        <v>NES</v>
      </c>
      <c r="G98" s="596"/>
      <c r="H98" s="574"/>
      <c r="I98" s="645"/>
      <c r="J98" s="644"/>
      <c r="K98" s="644"/>
      <c r="L98" s="644"/>
    </row>
    <row r="99" spans="1:12" s="1386" customFormat="1" ht="13">
      <c r="A99" s="1382"/>
      <c r="B99" s="1238"/>
      <c r="C99" s="1238"/>
      <c r="D99" s="1238"/>
      <c r="E99" s="608"/>
      <c r="F99" s="1383"/>
      <c r="G99" s="1384"/>
      <c r="H99" s="1382"/>
      <c r="I99" s="1385"/>
      <c r="J99" s="1382"/>
      <c r="K99" s="1382"/>
      <c r="L99" s="1382"/>
    </row>
    <row r="100" spans="1:12" s="1386" customFormat="1" ht="13">
      <c r="A100" s="1382"/>
      <c r="B100" s="1238"/>
      <c r="C100" s="1238"/>
      <c r="D100" s="1238"/>
      <c r="E100" s="593" t="s">
        <v>1458</v>
      </c>
      <c r="F100" s="1400" t="b">
        <f>IF(IFERROR(VLOOKUP($F$98,Validation!$Z$5:$Z$22,1,FALSE),FALSE)=F98,TRUE,FALSE)</f>
        <v>0</v>
      </c>
      <c r="G100" s="1384"/>
      <c r="H100" s="1382"/>
      <c r="I100" s="1385"/>
      <c r="J100" s="1382"/>
      <c r="K100" s="1382"/>
      <c r="L100" s="1382"/>
    </row>
    <row r="101" spans="1:12" s="1386" customFormat="1" ht="13">
      <c r="A101" s="1382"/>
      <c r="B101" s="1238"/>
      <c r="C101" s="1238"/>
      <c r="D101" s="1238"/>
      <c r="E101" s="608"/>
      <c r="F101" s="1383"/>
      <c r="G101" s="1384"/>
      <c r="H101" s="1382"/>
      <c r="I101" s="1385"/>
      <c r="J101" s="1382"/>
      <c r="K101" s="1382"/>
      <c r="L101" s="1382"/>
    </row>
    <row r="102" spans="1:12" s="1386" customFormat="1" ht="13">
      <c r="A102" s="1382"/>
      <c r="B102" s="1238"/>
      <c r="C102" s="1399" t="s">
        <v>1396</v>
      </c>
      <c r="D102" s="1238"/>
      <c r="E102" s="608"/>
      <c r="F102" s="1383"/>
      <c r="G102" s="1384"/>
      <c r="H102" s="1382"/>
      <c r="I102" s="1385"/>
      <c r="J102" s="1382"/>
      <c r="K102" s="1382"/>
      <c r="L102" s="1382"/>
    </row>
    <row r="103" spans="1:12" s="1386" customFormat="1" ht="13">
      <c r="A103" s="1382"/>
      <c r="B103" s="1238"/>
      <c r="C103" s="1238"/>
      <c r="D103" s="1238"/>
      <c r="E103" s="608"/>
      <c r="F103" s="1383"/>
      <c r="G103" s="1384"/>
      <c r="H103" s="1382"/>
      <c r="I103" s="1385"/>
      <c r="J103" s="1382"/>
      <c r="K103" s="1382"/>
      <c r="L103" s="1382"/>
    </row>
    <row r="104" spans="1:12" s="234" customFormat="1" ht="13">
      <c r="A104" s="644"/>
      <c r="B104" s="1427"/>
      <c r="C104" s="1427"/>
      <c r="D104" s="1427"/>
      <c r="E104" s="596" t="str">
        <f>Performance!E242</f>
        <v>Outperformance payments earned this reporting year - Water resources</v>
      </c>
      <c r="F104" s="1412">
        <f>Performance!F242</f>
        <v>0.20307510000000001</v>
      </c>
      <c r="G104" s="596" t="str">
        <f>Performance!G242</f>
        <v>£m (2017-18 prices)</v>
      </c>
      <c r="H104" s="574"/>
      <c r="I104" s="574"/>
      <c r="J104" s="644"/>
      <c r="K104" s="644"/>
      <c r="L104" s="644"/>
    </row>
    <row r="105" spans="1:12" s="234" customFormat="1" ht="13">
      <c r="A105" s="644"/>
      <c r="B105" s="1427"/>
      <c r="C105" s="1427"/>
      <c r="D105" s="1427"/>
      <c r="E105" s="596" t="str">
        <f>Performance!E243</f>
        <v>Outperformance payments earned this reporting year - Water network plus</v>
      </c>
      <c r="F105" s="1412">
        <f>Performance!F243</f>
        <v>2.9278982580000008</v>
      </c>
      <c r="G105" s="596" t="str">
        <f>Performance!G243</f>
        <v>£m (2017-18 prices)</v>
      </c>
      <c r="H105" s="574"/>
      <c r="I105" s="645"/>
      <c r="J105" s="644"/>
      <c r="K105" s="644"/>
      <c r="L105" s="644"/>
    </row>
    <row r="106" spans="1:12" s="234" customFormat="1" ht="13">
      <c r="A106" s="644"/>
      <c r="B106" s="1427"/>
      <c r="C106" s="1427"/>
      <c r="D106" s="1427"/>
      <c r="E106" s="596" t="str">
        <f>Performance!E244</f>
        <v>Outperformance payments earned this reporting year - Wastewater network plus</v>
      </c>
      <c r="F106" s="1412">
        <f>Performance!F244</f>
        <v>2.2109585960000002</v>
      </c>
      <c r="G106" s="596" t="str">
        <f>Performance!G244</f>
        <v>£m (2017-18 prices)</v>
      </c>
      <c r="H106" s="574"/>
      <c r="I106" s="645"/>
      <c r="J106" s="644"/>
      <c r="K106" s="644"/>
      <c r="L106" s="644"/>
    </row>
    <row r="107" spans="1:12" s="234" customFormat="1" ht="13">
      <c r="A107" s="644"/>
      <c r="B107" s="1427"/>
      <c r="C107" s="1427"/>
      <c r="D107" s="1427"/>
      <c r="E107" s="596" t="str">
        <f>Performance!E245</f>
        <v>Outperformance payments earned this reporting year - Bioresources (sludge)</v>
      </c>
      <c r="F107" s="1412">
        <f>Performance!F245</f>
        <v>4.1681177999999999E-2</v>
      </c>
      <c r="G107" s="596" t="str">
        <f>Performance!G245</f>
        <v>£m (2017-18 prices)</v>
      </c>
      <c r="H107" s="574"/>
      <c r="I107" s="645"/>
      <c r="J107" s="644"/>
      <c r="K107" s="644"/>
      <c r="L107" s="644"/>
    </row>
    <row r="108" spans="1:12" s="234" customFormat="1" ht="13">
      <c r="A108" s="644"/>
      <c r="B108" s="1427"/>
      <c r="C108" s="1427"/>
      <c r="D108" s="1427"/>
      <c r="E108" s="596" t="str">
        <f>Performance!E246</f>
        <v>Outperformance payments earned this reporting year - Residential retail</v>
      </c>
      <c r="F108" s="1412">
        <f>Performance!F246</f>
        <v>1.4388588680000001</v>
      </c>
      <c r="G108" s="596" t="str">
        <f>Performance!G246</f>
        <v>£m (2017-18 prices)</v>
      </c>
      <c r="H108" s="574"/>
      <c r="I108" s="645"/>
      <c r="J108" s="644"/>
      <c r="K108" s="644"/>
      <c r="L108" s="644"/>
    </row>
    <row r="109" spans="1:12" s="234" customFormat="1" ht="13">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
      <c r="A111" s="1382"/>
      <c r="B111" s="1238"/>
      <c r="C111" s="1238"/>
      <c r="D111" s="1238"/>
      <c r="E111" s="608"/>
      <c r="F111" s="667"/>
      <c r="G111" s="608"/>
      <c r="H111" s="608"/>
      <c r="I111" s="1385"/>
      <c r="J111" s="1382"/>
      <c r="K111" s="1382"/>
      <c r="L111" s="1382"/>
    </row>
    <row r="112" spans="1:12" s="1386" customFormat="1" ht="13">
      <c r="A112" s="1382"/>
      <c r="B112" s="1238"/>
      <c r="C112" s="1238"/>
      <c r="D112" s="1238"/>
      <c r="E112" s="593" t="s">
        <v>1274</v>
      </c>
      <c r="F112" s="1401">
        <f>SUM(F104:F110)</f>
        <v>6.8224720000000012</v>
      </c>
      <c r="G112" s="593" t="str">
        <f>InpCompany!$F$11</f>
        <v>£m (2017-18 prices)</v>
      </c>
      <c r="H112" s="608"/>
      <c r="I112" s="1385"/>
      <c r="J112" s="1382"/>
      <c r="K112" s="1382"/>
      <c r="L112" s="1382"/>
    </row>
    <row r="113" spans="1:12" s="1386" customFormat="1" ht="13">
      <c r="A113" s="1382"/>
      <c r="B113" s="1238"/>
      <c r="C113" s="1238"/>
      <c r="D113" s="1238"/>
      <c r="E113" s="608"/>
      <c r="F113" s="667"/>
      <c r="G113" s="608"/>
      <c r="H113" s="608"/>
      <c r="I113" s="1385"/>
      <c r="J113" s="1382"/>
      <c r="K113" s="1382"/>
      <c r="L113" s="1382"/>
    </row>
    <row r="114" spans="1:12" s="234" customFormat="1" ht="13">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
      <c r="A115" s="644"/>
      <c r="B115" s="1427"/>
      <c r="C115" s="1427"/>
      <c r="D115" s="1427"/>
      <c r="E115" s="596" t="str">
        <f>Performance!E252</f>
        <v>Underperformance payments earned this reporting year - Water network plus</v>
      </c>
      <c r="F115" s="1412">
        <f>Performance!F252</f>
        <v>-6.9345229333333336</v>
      </c>
      <c r="G115" s="596" t="str">
        <f>Performance!G252</f>
        <v>£m (2017-18 prices)</v>
      </c>
      <c r="H115" s="574"/>
      <c r="I115" s="645"/>
      <c r="J115" s="644"/>
      <c r="K115" s="644"/>
      <c r="L115" s="644"/>
    </row>
    <row r="116" spans="1:12" s="234" customFormat="1" ht="13">
      <c r="A116" s="644"/>
      <c r="B116" s="1427"/>
      <c r="C116" s="1427"/>
      <c r="D116" s="1427"/>
      <c r="E116" s="596" t="str">
        <f>Performance!E253</f>
        <v>Underperformance payments earned this reporting year - Wastewater network plus</v>
      </c>
      <c r="F116" s="1412">
        <f>Performance!F253</f>
        <v>-0.97775040000000402</v>
      </c>
      <c r="G116" s="596" t="str">
        <f>Performance!G253</f>
        <v>£m (2017-18 prices)</v>
      </c>
      <c r="H116" s="574"/>
      <c r="I116" s="645"/>
      <c r="J116" s="644"/>
      <c r="K116" s="644"/>
      <c r="L116" s="644"/>
    </row>
    <row r="117" spans="1:12" s="234" customFormat="1" ht="13">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
      <c r="A121" s="1382"/>
      <c r="B121" s="1238"/>
      <c r="C121" s="1238"/>
      <c r="D121" s="1238"/>
      <c r="E121" s="608"/>
      <c r="F121" s="667"/>
      <c r="G121" s="608"/>
      <c r="H121" s="608"/>
      <c r="I121" s="1385"/>
      <c r="J121" s="1382"/>
      <c r="K121" s="1382"/>
      <c r="L121" s="1382"/>
    </row>
    <row r="122" spans="1:12" s="1386" customFormat="1" ht="13">
      <c r="A122" s="1382"/>
      <c r="B122" s="1238"/>
      <c r="C122" s="1238"/>
      <c r="D122" s="1238"/>
      <c r="E122" s="593" t="s">
        <v>1282</v>
      </c>
      <c r="F122" s="1401">
        <f>SUM(F114:F120)</f>
        <v>-7.9122733333333377</v>
      </c>
      <c r="G122" s="593" t="str">
        <f>InpCompany!$F$11</f>
        <v>£m (2017-18 prices)</v>
      </c>
      <c r="H122" s="608"/>
      <c r="I122" s="1385"/>
      <c r="J122" s="1382"/>
      <c r="K122" s="1382"/>
      <c r="L122" s="1382"/>
    </row>
    <row r="123" spans="1:12" s="234" customFormat="1" ht="13">
      <c r="A123" s="644"/>
      <c r="B123" s="1427"/>
      <c r="C123" s="1427"/>
      <c r="D123" s="1427"/>
      <c r="E123" s="574"/>
      <c r="F123" s="670"/>
      <c r="G123" s="574"/>
      <c r="H123" s="574"/>
      <c r="I123" s="645"/>
      <c r="J123" s="644"/>
      <c r="K123" s="644"/>
      <c r="L123" s="644"/>
    </row>
    <row r="124" spans="1:12" s="1386" customFormat="1" ht="13">
      <c r="A124" s="1382"/>
      <c r="B124" s="1238"/>
      <c r="C124" s="1238"/>
      <c r="D124" s="1428" t="s">
        <v>1459</v>
      </c>
      <c r="E124" s="608"/>
      <c r="F124" s="667"/>
      <c r="G124" s="608"/>
      <c r="H124" s="608"/>
      <c r="I124" s="1385"/>
      <c r="J124" s="1382"/>
      <c r="K124" s="1382"/>
      <c r="L124" s="1382"/>
    </row>
    <row r="125" spans="1:12" s="1386" customFormat="1" ht="13">
      <c r="A125" s="1382"/>
      <c r="B125" s="1238"/>
      <c r="C125" s="1238"/>
      <c r="D125" s="1238"/>
      <c r="E125" s="1238" t="s">
        <v>1460</v>
      </c>
      <c r="F125" s="1401">
        <f>F104+F114</f>
        <v>0.20307510000000001</v>
      </c>
      <c r="G125" s="593" t="str">
        <f>InpCompany!$F$11</f>
        <v>£m (2017-18 prices)</v>
      </c>
      <c r="H125" s="608"/>
      <c r="I125" s="1385"/>
      <c r="J125" s="1382"/>
      <c r="K125" s="1382"/>
      <c r="L125" s="1382"/>
    </row>
    <row r="126" spans="1:12" s="1386" customFormat="1" ht="13">
      <c r="A126" s="1382"/>
      <c r="B126" s="1238"/>
      <c r="C126" s="1238"/>
      <c r="D126" s="1238"/>
      <c r="E126" s="1238" t="s">
        <v>1461</v>
      </c>
      <c r="F126" s="1401">
        <f t="shared" ref="F126:F130" si="6">F105+F115</f>
        <v>-4.0066246753333328</v>
      </c>
      <c r="G126" s="593" t="str">
        <f>InpCompany!$F$11</f>
        <v>£m (2017-18 prices)</v>
      </c>
      <c r="H126" s="608"/>
      <c r="I126" s="1385"/>
      <c r="J126" s="1382"/>
      <c r="K126" s="1382"/>
      <c r="L126" s="1382"/>
    </row>
    <row r="127" spans="1:12" s="1386" customFormat="1" ht="13">
      <c r="A127" s="1382"/>
      <c r="B127" s="1238"/>
      <c r="C127" s="1238"/>
      <c r="D127" s="1238"/>
      <c r="E127" s="1238" t="s">
        <v>1462</v>
      </c>
      <c r="F127" s="1401">
        <f t="shared" si="6"/>
        <v>1.2332081959999961</v>
      </c>
      <c r="G127" s="593" t="str">
        <f>InpCompany!$F$11</f>
        <v>£m (2017-18 prices)</v>
      </c>
      <c r="H127" s="608"/>
      <c r="I127" s="1385"/>
      <c r="J127" s="1382"/>
      <c r="K127" s="1382"/>
      <c r="L127" s="1382"/>
    </row>
    <row r="128" spans="1:12" s="1386" customFormat="1" ht="13">
      <c r="A128" s="1382"/>
      <c r="B128" s="1238"/>
      <c r="C128" s="1238"/>
      <c r="D128" s="1238"/>
      <c r="E128" s="1238" t="s">
        <v>1463</v>
      </c>
      <c r="F128" s="1401">
        <f t="shared" si="6"/>
        <v>4.1681177999999999E-2</v>
      </c>
      <c r="G128" s="593" t="str">
        <f>InpCompany!$F$11</f>
        <v>£m (2017-18 prices)</v>
      </c>
      <c r="H128" s="608"/>
      <c r="I128" s="1385"/>
      <c r="J128" s="1382"/>
      <c r="K128" s="1382"/>
      <c r="L128" s="1382"/>
    </row>
    <row r="129" spans="1:12" s="1386" customFormat="1" ht="13">
      <c r="A129" s="1382"/>
      <c r="B129" s="1238"/>
      <c r="C129" s="1238"/>
      <c r="D129" s="1238"/>
      <c r="E129" s="1238" t="s">
        <v>1464</v>
      </c>
      <c r="F129" s="1401">
        <f t="shared" si="6"/>
        <v>1.4388588680000001</v>
      </c>
      <c r="G129" s="593" t="str">
        <f>InpCompany!$F$11</f>
        <v>£m (2017-18 prices)</v>
      </c>
      <c r="H129" s="608"/>
      <c r="I129" s="1385"/>
      <c r="J129" s="1382"/>
      <c r="K129" s="1382"/>
      <c r="L129" s="1382"/>
    </row>
    <row r="130" spans="1:12" s="1386" customFormat="1" ht="13">
      <c r="A130" s="1382"/>
      <c r="B130" s="1238"/>
      <c r="C130" s="1238"/>
      <c r="D130" s="1238"/>
      <c r="E130" s="1238" t="s">
        <v>1465</v>
      </c>
      <c r="F130" s="1401">
        <f t="shared" si="6"/>
        <v>0</v>
      </c>
      <c r="G130" s="593" t="str">
        <f>InpCompany!$F$11</f>
        <v>£m (2017-18 prices)</v>
      </c>
      <c r="H130" s="608"/>
      <c r="I130" s="1385"/>
      <c r="J130" s="1382"/>
      <c r="K130" s="1382"/>
      <c r="L130" s="1382"/>
    </row>
    <row r="131" spans="1:12" s="1386" customFormat="1" ht="13">
      <c r="A131" s="1382"/>
      <c r="B131" s="1238"/>
      <c r="C131" s="1238"/>
      <c r="D131" s="1238"/>
      <c r="E131" s="1238" t="s">
        <v>1466</v>
      </c>
      <c r="F131" s="1401">
        <f>F110+F120</f>
        <v>0</v>
      </c>
      <c r="G131" s="593" t="str">
        <f>InpCompany!$F$11</f>
        <v>£m (2017-18 prices)</v>
      </c>
      <c r="H131" s="608"/>
      <c r="I131" s="1385"/>
      <c r="J131" s="1382"/>
      <c r="K131" s="1382"/>
      <c r="L131" s="1382"/>
    </row>
    <row r="132" spans="1:12" s="234" customFormat="1" ht="13">
      <c r="A132" s="644"/>
      <c r="B132" s="1427"/>
      <c r="C132" s="1427"/>
      <c r="D132" s="1427"/>
      <c r="E132" s="574"/>
      <c r="F132" s="670"/>
      <c r="G132" s="574"/>
      <c r="H132" s="574"/>
      <c r="I132" s="645"/>
      <c r="J132" s="644"/>
      <c r="K132" s="644"/>
      <c r="L132" s="644"/>
    </row>
    <row r="133" spans="1:12" s="1386" customFormat="1" ht="13">
      <c r="A133" s="1382"/>
      <c r="B133" s="1238"/>
      <c r="C133" s="1238"/>
      <c r="D133" s="1429" t="s">
        <v>1397</v>
      </c>
      <c r="E133" s="608"/>
      <c r="F133" s="667"/>
      <c r="G133" s="608"/>
      <c r="H133" s="608"/>
      <c r="I133" s="1385"/>
      <c r="J133" s="1382"/>
      <c r="K133" s="1382"/>
      <c r="L133" s="1382"/>
    </row>
    <row r="134" spans="1:12" s="1386" customFormat="1" ht="13">
      <c r="A134" s="1382"/>
      <c r="B134" s="1238"/>
      <c r="C134" s="1238"/>
      <c r="D134" s="1238"/>
      <c r="E134" s="501" t="s">
        <v>1467</v>
      </c>
      <c r="F134" s="667"/>
      <c r="G134" s="593" t="str">
        <f>InpCompany!$F$11</f>
        <v>£m (2017-18 prices)</v>
      </c>
      <c r="H134" s="608"/>
      <c r="I134" s="1385"/>
      <c r="J134" s="1402">
        <f>F125</f>
        <v>0.20307510000000001</v>
      </c>
      <c r="K134" s="1385"/>
      <c r="L134" s="1385"/>
    </row>
    <row r="135" spans="1:12" s="1386" customFormat="1" ht="13">
      <c r="A135" s="1382"/>
      <c r="B135" s="1238"/>
      <c r="C135" s="1238"/>
      <c r="D135" s="1238"/>
      <c r="E135" s="501" t="s">
        <v>1468</v>
      </c>
      <c r="F135" s="667"/>
      <c r="G135" s="593" t="str">
        <f>InpCompany!$F$11</f>
        <v>£m (2017-18 prices)</v>
      </c>
      <c r="H135" s="608"/>
      <c r="I135" s="1385"/>
      <c r="J135" s="1402">
        <f>F126</f>
        <v>-4.0066246753333328</v>
      </c>
      <c r="K135" s="1385"/>
      <c r="L135" s="1385"/>
    </row>
    <row r="136" spans="1:12" s="1386" customFormat="1" ht="13">
      <c r="A136" s="1382"/>
      <c r="B136" s="1238"/>
      <c r="C136" s="1238"/>
      <c r="D136" s="1238"/>
      <c r="E136" s="501" t="s">
        <v>1469</v>
      </c>
      <c r="F136" s="667"/>
      <c r="G136" s="593" t="str">
        <f>InpCompany!$F$11</f>
        <v>£m (2017-18 prices)</v>
      </c>
      <c r="H136" s="608"/>
      <c r="I136" s="1385"/>
      <c r="J136" s="1385"/>
      <c r="K136" s="1402">
        <f>F127</f>
        <v>1.2332081959999961</v>
      </c>
      <c r="L136" s="1385"/>
    </row>
    <row r="137" spans="1:12" s="1386" customFormat="1" ht="13">
      <c r="A137" s="1382"/>
      <c r="B137" s="1238"/>
      <c r="C137" s="1238"/>
      <c r="D137" s="1238"/>
      <c r="E137" s="501" t="s">
        <v>1470</v>
      </c>
      <c r="F137" s="667"/>
      <c r="G137" s="593" t="str">
        <f>InpCompany!$F$11</f>
        <v>£m (2017-18 prices)</v>
      </c>
      <c r="H137" s="608"/>
      <c r="I137" s="1385"/>
      <c r="J137" s="1385"/>
      <c r="K137" s="1402">
        <f>F128</f>
        <v>4.1681177999999999E-2</v>
      </c>
      <c r="L137" s="1385"/>
    </row>
    <row r="138" spans="1:12" s="1386" customFormat="1" ht="13">
      <c r="A138" s="1382"/>
      <c r="B138" s="1238"/>
      <c r="C138" s="1238"/>
      <c r="D138" s="1238"/>
      <c r="E138" s="501" t="s">
        <v>1471</v>
      </c>
      <c r="F138" s="667"/>
      <c r="G138" s="593" t="str">
        <f>InpCompany!$F$11</f>
        <v>£m (2017-18 prices)</v>
      </c>
      <c r="H138" s="608"/>
      <c r="I138" s="1385"/>
      <c r="J138" s="1385"/>
      <c r="K138" s="1385"/>
      <c r="L138" s="1402">
        <f>F129</f>
        <v>1.4388588680000001</v>
      </c>
    </row>
    <row r="139" spans="1:12" s="1386" customFormat="1" ht="13">
      <c r="A139" s="1382"/>
      <c r="B139" s="1238"/>
      <c r="C139" s="1238"/>
      <c r="D139" s="1238"/>
      <c r="E139" s="501" t="s">
        <v>1472</v>
      </c>
      <c r="F139" s="667"/>
      <c r="G139" s="593" t="str">
        <f>InpCompany!$F$11</f>
        <v>£m (2017-18 prices)</v>
      </c>
      <c r="H139" s="608"/>
      <c r="I139" s="1385"/>
      <c r="J139" s="1385"/>
      <c r="K139" s="1385"/>
      <c r="L139" s="1402">
        <f t="shared" ref="L139:L140" si="7">F130</f>
        <v>0</v>
      </c>
    </row>
    <row r="140" spans="1:12" s="1386" customFormat="1" ht="13">
      <c r="A140" s="1382"/>
      <c r="B140" s="1238"/>
      <c r="C140" s="1238"/>
      <c r="D140" s="1238"/>
      <c r="E140" s="501" t="s">
        <v>1473</v>
      </c>
      <c r="F140" s="667"/>
      <c r="G140" s="593" t="str">
        <f>InpCompany!$F$11</f>
        <v>£m (2017-18 prices)</v>
      </c>
      <c r="H140" s="608"/>
      <c r="I140" s="1385"/>
      <c r="J140" s="1385"/>
      <c r="K140" s="1385"/>
      <c r="L140" s="1402">
        <f t="shared" si="7"/>
        <v>0</v>
      </c>
    </row>
    <row r="141" spans="1:12" s="1386" customFormat="1" ht="13">
      <c r="A141" s="1382"/>
      <c r="B141" s="1238"/>
      <c r="C141" s="1238"/>
      <c r="D141" s="1238"/>
      <c r="E141" s="444"/>
      <c r="F141" s="608"/>
      <c r="G141" s="608"/>
      <c r="H141" s="608"/>
      <c r="I141" s="1385"/>
      <c r="J141" s="1385"/>
      <c r="K141" s="1385"/>
      <c r="L141" s="1385"/>
    </row>
    <row r="142" spans="1:12" s="1386" customFormat="1" ht="13">
      <c r="A142" s="1382"/>
      <c r="B142" s="1238"/>
      <c r="C142" s="1238"/>
      <c r="D142" s="1238"/>
      <c r="E142" s="1403" t="s">
        <v>1474</v>
      </c>
      <c r="F142" s="608"/>
      <c r="G142" s="608"/>
      <c r="H142" s="608"/>
      <c r="I142" s="1385"/>
      <c r="J142" s="1402">
        <f>SUM(J134:J140)</f>
        <v>-3.8035495753333328</v>
      </c>
      <c r="K142" s="1402">
        <f>SUM(K134:K140)</f>
        <v>1.274889373999996</v>
      </c>
      <c r="L142" s="1402">
        <f>SUM(L134:L140)</f>
        <v>1.4388588680000001</v>
      </c>
    </row>
    <row r="143" spans="1:12" s="1386" customFormat="1" ht="13">
      <c r="A143" s="1382"/>
      <c r="B143" s="1238"/>
      <c r="C143" s="1238"/>
      <c r="D143" s="1238"/>
      <c r="E143" s="446"/>
      <c r="F143" s="608"/>
      <c r="G143" s="608"/>
      <c r="H143" s="608"/>
      <c r="I143" s="1385"/>
      <c r="J143" s="1385"/>
      <c r="K143" s="1385"/>
      <c r="L143" s="1385"/>
    </row>
    <row r="144" spans="1:12" s="1386" customFormat="1" ht="13">
      <c r="A144" s="1382"/>
      <c r="B144" s="1238"/>
      <c r="C144" s="1238"/>
      <c r="D144" s="1238"/>
      <c r="E144" s="501" t="s">
        <v>1475</v>
      </c>
      <c r="F144" s="608"/>
      <c r="G144" s="593" t="str">
        <f>InpCompany!$F$11</f>
        <v>£m (2017-18 prices)</v>
      </c>
      <c r="H144" s="608"/>
      <c r="I144" s="1385"/>
      <c r="J144" s="1402">
        <f>F114</f>
        <v>0</v>
      </c>
      <c r="K144" s="1385"/>
      <c r="L144" s="1385"/>
    </row>
    <row r="145" spans="1:12" s="1386" customFormat="1" ht="13">
      <c r="A145" s="1382"/>
      <c r="B145" s="1238"/>
      <c r="C145" s="1238"/>
      <c r="D145" s="1238"/>
      <c r="E145" s="501" t="s">
        <v>1476</v>
      </c>
      <c r="F145" s="608"/>
      <c r="G145" s="593" t="str">
        <f>InpCompany!$F$11</f>
        <v>£m (2017-18 prices)</v>
      </c>
      <c r="H145" s="608"/>
      <c r="I145" s="1385"/>
      <c r="J145" s="1402">
        <f>F115</f>
        <v>-6.9345229333333336</v>
      </c>
      <c r="K145" s="1385"/>
      <c r="L145" s="1385"/>
    </row>
    <row r="146" spans="1:12" s="1386" customFormat="1" ht="13">
      <c r="A146" s="1382"/>
      <c r="B146" s="1238"/>
      <c r="C146" s="1238"/>
      <c r="D146" s="1238"/>
      <c r="E146" s="501" t="s">
        <v>1477</v>
      </c>
      <c r="F146" s="608"/>
      <c r="G146" s="593" t="str">
        <f>InpCompany!$F$11</f>
        <v>£m (2017-18 prices)</v>
      </c>
      <c r="H146" s="608"/>
      <c r="I146" s="1385"/>
      <c r="J146" s="1385"/>
      <c r="K146" s="1402">
        <f>F116</f>
        <v>-0.97775040000000402</v>
      </c>
      <c r="L146" s="1385"/>
    </row>
    <row r="147" spans="1:12" s="1386" customFormat="1" ht="13">
      <c r="A147" s="1382"/>
      <c r="B147" s="1238"/>
      <c r="C147" s="1238"/>
      <c r="D147" s="1238"/>
      <c r="E147" s="501" t="s">
        <v>1478</v>
      </c>
      <c r="F147" s="608"/>
      <c r="G147" s="593" t="str">
        <f>InpCompany!$F$11</f>
        <v>£m (2017-18 prices)</v>
      </c>
      <c r="H147" s="608"/>
      <c r="I147" s="1385"/>
      <c r="J147" s="1385"/>
      <c r="K147" s="1402">
        <f>F117</f>
        <v>0</v>
      </c>
      <c r="L147" s="1385"/>
    </row>
    <row r="148" spans="1:12" s="1386" customFormat="1" ht="13">
      <c r="A148" s="1382"/>
      <c r="B148" s="1238"/>
      <c r="C148" s="1238"/>
      <c r="D148" s="1238"/>
      <c r="E148" s="501" t="s">
        <v>1479</v>
      </c>
      <c r="F148" s="608"/>
      <c r="G148" s="593" t="str">
        <f>InpCompany!$F$11</f>
        <v>£m (2017-18 prices)</v>
      </c>
      <c r="H148" s="608"/>
      <c r="I148" s="1385"/>
      <c r="J148" s="1385"/>
      <c r="K148" s="1385"/>
      <c r="L148" s="1402">
        <f>F118</f>
        <v>0</v>
      </c>
    </row>
    <row r="149" spans="1:12" s="1386" customFormat="1" ht="13">
      <c r="A149" s="1382"/>
      <c r="B149" s="1238"/>
      <c r="C149" s="1238"/>
      <c r="D149" s="1238"/>
      <c r="E149" s="501" t="s">
        <v>1480</v>
      </c>
      <c r="F149" s="608"/>
      <c r="G149" s="593" t="str">
        <f>InpCompany!$F$11</f>
        <v>£m (2017-18 prices)</v>
      </c>
      <c r="H149" s="608"/>
      <c r="I149" s="1385"/>
      <c r="J149" s="1385"/>
      <c r="K149" s="1385"/>
      <c r="L149" s="1402">
        <f t="shared" ref="L149:L150" si="8">F119</f>
        <v>0</v>
      </c>
    </row>
    <row r="150" spans="1:12" s="1386" customFormat="1" ht="13">
      <c r="A150" s="1382"/>
      <c r="B150" s="1238"/>
      <c r="C150" s="1238"/>
      <c r="D150" s="1238"/>
      <c r="E150" s="501" t="s">
        <v>1481</v>
      </c>
      <c r="F150" s="608"/>
      <c r="G150" s="593" t="str">
        <f>InpCompany!$F$11</f>
        <v>£m (2017-18 prices)</v>
      </c>
      <c r="H150" s="608"/>
      <c r="I150" s="1385"/>
      <c r="J150" s="1385"/>
      <c r="K150" s="1385"/>
      <c r="L150" s="1402">
        <f t="shared" si="8"/>
        <v>0</v>
      </c>
    </row>
    <row r="151" spans="1:12" s="1386" customFormat="1" ht="13">
      <c r="A151" s="1382"/>
      <c r="B151" s="1238"/>
      <c r="C151" s="1238"/>
      <c r="D151" s="1238"/>
      <c r="E151" s="446"/>
      <c r="F151" s="608"/>
      <c r="G151" s="608"/>
      <c r="H151" s="608"/>
      <c r="I151" s="1385"/>
      <c r="J151" s="1385"/>
      <c r="K151" s="1385"/>
      <c r="L151" s="1385"/>
    </row>
    <row r="152" spans="1:12" s="1386" customFormat="1" ht="13">
      <c r="A152" s="1382"/>
      <c r="B152" s="1238"/>
      <c r="C152" s="1238"/>
      <c r="D152" s="1238"/>
      <c r="E152" s="1403" t="s">
        <v>1482</v>
      </c>
      <c r="F152" s="608"/>
      <c r="G152" s="608"/>
      <c r="H152" s="608"/>
      <c r="I152" s="1385"/>
      <c r="J152" s="1402">
        <f>SUM(J144:J150)</f>
        <v>-6.9345229333333336</v>
      </c>
      <c r="K152" s="1402">
        <f>SUM(K144:K150)</f>
        <v>-0.97775040000000402</v>
      </c>
      <c r="L152" s="1402">
        <f>SUM(L144:L150)</f>
        <v>0</v>
      </c>
    </row>
    <row r="153" spans="1:12" s="1386" customFormat="1" ht="13">
      <c r="A153" s="1382"/>
      <c r="B153" s="1238"/>
      <c r="C153" s="1238"/>
      <c r="D153" s="1238"/>
      <c r="E153" s="446"/>
      <c r="F153" s="608"/>
      <c r="G153" s="608"/>
      <c r="H153" s="608"/>
      <c r="I153" s="1385"/>
      <c r="J153" s="1382"/>
      <c r="K153" s="1382"/>
      <c r="L153" s="1382"/>
    </row>
    <row r="154" spans="1:12" s="1386" customFormat="1" ht="13">
      <c r="A154" s="1382"/>
      <c r="B154" s="1238"/>
      <c r="C154" s="1238"/>
      <c r="D154" s="1429" t="s">
        <v>1406</v>
      </c>
      <c r="E154" s="446"/>
      <c r="F154" s="608"/>
      <c r="G154" s="608"/>
      <c r="H154" s="608"/>
      <c r="I154" s="1385"/>
      <c r="J154" s="1382"/>
      <c r="K154" s="1382"/>
      <c r="L154" s="1382"/>
    </row>
    <row r="155" spans="1:12" s="1386" customFormat="1" ht="13">
      <c r="A155" s="1382"/>
      <c r="B155" s="1238"/>
      <c r="C155" s="1238"/>
      <c r="D155" s="1238"/>
      <c r="E155" s="1403" t="s">
        <v>1483</v>
      </c>
      <c r="F155" s="446"/>
      <c r="G155" s="593" t="str">
        <f>InpCompany!$F$11</f>
        <v>£m (2017-18 prices)</v>
      </c>
      <c r="H155" s="446"/>
      <c r="I155" s="446"/>
      <c r="J155" s="1404">
        <f>J31*-1</f>
        <v>-25.775124000000002</v>
      </c>
      <c r="K155" s="1404">
        <f t="shared" ref="K155" si="9">K31*-1</f>
        <v>-25.259459999999997</v>
      </c>
      <c r="L155" s="1404"/>
    </row>
    <row r="156" spans="1:12" s="1386" customFormat="1" ht="13">
      <c r="A156" s="1382"/>
      <c r="B156" s="1238"/>
      <c r="C156" s="1238"/>
      <c r="D156" s="1238"/>
      <c r="E156" s="1403" t="s">
        <v>1484</v>
      </c>
      <c r="F156" s="446"/>
      <c r="G156" s="1405" t="s">
        <v>1412</v>
      </c>
      <c r="H156" s="608"/>
      <c r="I156" s="1385"/>
      <c r="J156" s="1405" t="b">
        <f>IF(J142&lt;J155,TRUE,FALSE)</f>
        <v>0</v>
      </c>
      <c r="K156" s="1405" t="b">
        <f>IF(K142&lt;K155,TRUE,FALSE)</f>
        <v>0</v>
      </c>
      <c r="L156" s="446"/>
    </row>
    <row r="157" spans="1:12" s="234" customFormat="1" ht="13">
      <c r="A157" s="644"/>
      <c r="B157" s="1427"/>
      <c r="C157" s="1427"/>
      <c r="D157" s="1427"/>
      <c r="E157" s="596" t="s">
        <v>1064</v>
      </c>
      <c r="G157" s="596" t="s">
        <v>1061</v>
      </c>
      <c r="H157" s="574"/>
      <c r="I157" s="645"/>
      <c r="J157" s="1406">
        <f>InpCompany!$F$29</f>
        <v>0.5</v>
      </c>
      <c r="K157" s="1406">
        <f>InpCompany!$F$29</f>
        <v>0.5</v>
      </c>
      <c r="L157" s="644"/>
    </row>
    <row r="158" spans="1:12" s="1386" customFormat="1" ht="13">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
      <c r="A159" s="644"/>
      <c r="B159" s="1427"/>
      <c r="C159" s="1427"/>
      <c r="D159" s="1427"/>
      <c r="E159" s="1403" t="s">
        <v>1485</v>
      </c>
      <c r="F159" s="446"/>
      <c r="G159" s="1405" t="str">
        <f>InpCompany!$F$11</f>
        <v>£m (2017-18 prices)</v>
      </c>
      <c r="H159" s="446"/>
      <c r="I159" s="446"/>
      <c r="J159" s="601">
        <f>IF(AND(J156,$F$158),(J142-J155)*J157,0)</f>
        <v>0</v>
      </c>
      <c r="K159" s="601">
        <f t="shared" ref="K159" si="11">IF(AND(K156,$F$158),(K142-K155)*K157,0)</f>
        <v>0</v>
      </c>
      <c r="L159" s="601"/>
    </row>
    <row r="160" spans="1:12" s="1386" customFormat="1" ht="13">
      <c r="A160" s="1382"/>
      <c r="B160" s="1238"/>
      <c r="C160" s="1238"/>
      <c r="D160" s="1238"/>
      <c r="E160" s="1382"/>
      <c r="F160" s="1382"/>
      <c r="G160" s="1384"/>
      <c r="H160" s="1382"/>
      <c r="I160" s="1382"/>
      <c r="J160" s="483"/>
      <c r="K160" s="483"/>
      <c r="L160" s="1382"/>
    </row>
    <row r="161" spans="1:12" s="1386" customFormat="1" ht="13">
      <c r="A161" s="1382"/>
      <c r="B161" s="1238"/>
      <c r="C161" s="1238"/>
      <c r="D161" s="1238"/>
      <c r="E161" s="1382"/>
      <c r="F161" s="1382"/>
      <c r="G161" s="1384"/>
      <c r="H161" s="1382"/>
      <c r="I161" s="1382"/>
      <c r="J161" s="483"/>
      <c r="K161" s="483"/>
      <c r="L161" s="1382"/>
    </row>
    <row r="162" spans="1:12" s="1386" customFormat="1" ht="13">
      <c r="A162" s="1382"/>
      <c r="B162" s="1238"/>
      <c r="C162" s="1430" t="s">
        <v>1414</v>
      </c>
      <c r="D162" s="1238"/>
      <c r="E162" s="1382"/>
      <c r="F162" s="1382"/>
      <c r="G162" s="1384"/>
      <c r="H162" s="1382"/>
      <c r="I162" s="1382"/>
      <c r="J162" s="483"/>
      <c r="K162" s="483"/>
      <c r="L162" s="1382"/>
    </row>
    <row r="163" spans="1:12" s="1386" customFormat="1" ht="13">
      <c r="A163" s="1382"/>
      <c r="B163" s="1238"/>
      <c r="C163" s="1238"/>
      <c r="D163" s="1238"/>
      <c r="E163" s="1382"/>
      <c r="F163" s="1382"/>
      <c r="G163" s="1384"/>
      <c r="H163" s="1382"/>
      <c r="I163" s="1382"/>
      <c r="J163" s="483"/>
      <c r="K163" s="483"/>
      <c r="L163" s="1382"/>
    </row>
    <row r="164" spans="1:12" s="1386" customFormat="1" ht="13">
      <c r="A164" s="1382"/>
      <c r="B164" s="1238"/>
      <c r="C164" s="1238"/>
      <c r="D164" s="1429" t="s">
        <v>1486</v>
      </c>
      <c r="E164" s="1382"/>
      <c r="F164" s="1382"/>
      <c r="G164" s="1384"/>
      <c r="H164" s="1382"/>
      <c r="I164" s="1382"/>
      <c r="J164" s="483"/>
      <c r="K164" s="483"/>
      <c r="L164" s="1382"/>
    </row>
    <row r="165" spans="1:12" s="1386" customFormat="1" ht="13">
      <c r="A165" s="1382"/>
      <c r="B165" s="1238"/>
      <c r="C165" s="1238"/>
      <c r="D165" s="1238"/>
      <c r="E165" s="501" t="s">
        <v>1487</v>
      </c>
      <c r="F165" s="1407"/>
      <c r="G165" s="1405" t="s">
        <v>1061</v>
      </c>
      <c r="H165" s="446"/>
      <c r="I165" s="446"/>
      <c r="J165" s="1407">
        <f>IFERROR(J144/J$152,0)</f>
        <v>0</v>
      </c>
      <c r="K165" s="1407">
        <f t="shared" ref="K165" si="12">IFERROR(K144/K$152,0)</f>
        <v>0</v>
      </c>
      <c r="L165" s="1407"/>
    </row>
    <row r="166" spans="1:12" s="1386" customFormat="1" ht="13">
      <c r="A166" s="1382"/>
      <c r="B166" s="1238"/>
      <c r="C166" s="1238"/>
      <c r="D166" s="1238"/>
      <c r="E166" s="501" t="s">
        <v>1488</v>
      </c>
      <c r="F166" s="1407"/>
      <c r="G166" s="1405" t="s">
        <v>1061</v>
      </c>
      <c r="H166" s="1382"/>
      <c r="I166" s="1382"/>
      <c r="J166" s="1407">
        <f t="shared" ref="J166:J171" si="13">IFERROR(J145/J$152,0)</f>
        <v>1</v>
      </c>
      <c r="K166" s="1407">
        <f t="shared" ref="K166:K171" si="14">IFERROR(K145/K$152,0)</f>
        <v>0</v>
      </c>
      <c r="L166" s="1407"/>
    </row>
    <row r="167" spans="1:12" s="1386" customFormat="1" ht="13">
      <c r="A167" s="1382"/>
      <c r="B167" s="1238"/>
      <c r="C167" s="1238"/>
      <c r="D167" s="1238"/>
      <c r="E167" s="501" t="s">
        <v>1489</v>
      </c>
      <c r="F167" s="1407"/>
      <c r="G167" s="1405" t="s">
        <v>1061</v>
      </c>
      <c r="H167" s="1382"/>
      <c r="I167" s="1382"/>
      <c r="J167" s="1407">
        <f t="shared" si="13"/>
        <v>0</v>
      </c>
      <c r="K167" s="1407">
        <f t="shared" si="14"/>
        <v>1</v>
      </c>
      <c r="L167" s="1407"/>
    </row>
    <row r="168" spans="1:12" s="1386" customFormat="1" ht="13">
      <c r="A168" s="1382"/>
      <c r="B168" s="1238"/>
      <c r="C168" s="1238"/>
      <c r="D168" s="1238"/>
      <c r="E168" s="501" t="s">
        <v>1490</v>
      </c>
      <c r="F168" s="1407"/>
      <c r="G168" s="1405" t="s">
        <v>1061</v>
      </c>
      <c r="H168" s="1382"/>
      <c r="I168" s="1382"/>
      <c r="J168" s="1407">
        <f t="shared" si="13"/>
        <v>0</v>
      </c>
      <c r="K168" s="1407">
        <f>IFERROR(K147/K$152,0)</f>
        <v>0</v>
      </c>
      <c r="L168" s="1407"/>
    </row>
    <row r="169" spans="1:12" s="1386" customFormat="1" ht="13">
      <c r="A169" s="1382"/>
      <c r="B169" s="1238"/>
      <c r="C169" s="1238"/>
      <c r="D169" s="1238"/>
      <c r="E169" s="501" t="s">
        <v>1491</v>
      </c>
      <c r="F169" s="1407"/>
      <c r="G169" s="1405" t="s">
        <v>1061</v>
      </c>
      <c r="H169" s="1382"/>
      <c r="I169" s="1382"/>
      <c r="J169" s="1407">
        <f t="shared" si="13"/>
        <v>0</v>
      </c>
      <c r="K169" s="1407">
        <f t="shared" si="14"/>
        <v>0</v>
      </c>
      <c r="L169" s="1407"/>
    </row>
    <row r="170" spans="1:12" s="1386" customFormat="1" ht="13">
      <c r="A170" s="1382"/>
      <c r="B170" s="1238"/>
      <c r="C170" s="1238"/>
      <c r="D170" s="1238"/>
      <c r="E170" s="501" t="s">
        <v>1492</v>
      </c>
      <c r="F170" s="1407"/>
      <c r="G170" s="1405" t="s">
        <v>1061</v>
      </c>
      <c r="H170" s="1382"/>
      <c r="I170" s="1382"/>
      <c r="J170" s="1407">
        <f t="shared" si="13"/>
        <v>0</v>
      </c>
      <c r="K170" s="1407">
        <f t="shared" si="14"/>
        <v>0</v>
      </c>
      <c r="L170" s="1407"/>
    </row>
    <row r="171" spans="1:12" s="1386" customFormat="1" ht="13">
      <c r="A171" s="1382"/>
      <c r="B171" s="1238"/>
      <c r="C171" s="1238"/>
      <c r="D171" s="1238"/>
      <c r="E171" s="501" t="s">
        <v>1493</v>
      </c>
      <c r="F171" s="1407"/>
      <c r="G171" s="1405" t="s">
        <v>1061</v>
      </c>
      <c r="H171" s="1382"/>
      <c r="I171" s="1382"/>
      <c r="J171" s="1407">
        <f t="shared" si="13"/>
        <v>0</v>
      </c>
      <c r="K171" s="1407">
        <f t="shared" si="14"/>
        <v>0</v>
      </c>
      <c r="L171" s="1407"/>
    </row>
    <row r="172" spans="1:12" s="1386" customFormat="1" ht="13">
      <c r="A172" s="1382"/>
      <c r="B172" s="1238"/>
      <c r="C172" s="1238"/>
      <c r="D172" s="1238"/>
      <c r="E172" s="444"/>
      <c r="G172" s="608"/>
      <c r="H172" s="608"/>
      <c r="I172" s="1385"/>
      <c r="J172" s="1387"/>
      <c r="K172" s="1387"/>
      <c r="L172" s="1382"/>
    </row>
    <row r="173" spans="1:12" s="1386" customFormat="1" ht="14.5">
      <c r="A173" s="1382"/>
      <c r="B173" s="1238"/>
      <c r="C173" s="1238"/>
      <c r="D173" s="1429" t="s">
        <v>1494</v>
      </c>
      <c r="E173" s="1353"/>
      <c r="F173" s="446"/>
      <c r="G173" s="462"/>
      <c r="H173" s="446"/>
      <c r="I173" s="446"/>
      <c r="J173" s="643"/>
      <c r="K173" s="643"/>
      <c r="L173" s="643"/>
    </row>
    <row r="174" spans="1:12" s="1386" customFormat="1" ht="13">
      <c r="A174" s="1382"/>
      <c r="B174" s="1238"/>
      <c r="C174" s="1238"/>
      <c r="D174" s="1403"/>
      <c r="E174" s="501" t="s">
        <v>1495</v>
      </c>
      <c r="F174" s="446"/>
      <c r="G174" s="1405" t="str">
        <f>InpCompany!$F$11</f>
        <v>£m (2017-18 prices)</v>
      </c>
      <c r="H174" s="446"/>
      <c r="I174" s="446"/>
      <c r="J174" s="601">
        <f>J$159*J165</f>
        <v>0</v>
      </c>
      <c r="K174" s="601">
        <f t="shared" ref="K174" si="15">K$159*K165</f>
        <v>0</v>
      </c>
      <c r="L174" s="601"/>
    </row>
    <row r="175" spans="1:12" s="1386" customFormat="1" ht="13">
      <c r="A175" s="1382"/>
      <c r="B175" s="1238"/>
      <c r="C175" s="1238"/>
      <c r="D175" s="1403"/>
      <c r="E175" s="501" t="s">
        <v>1496</v>
      </c>
      <c r="F175" s="446"/>
      <c r="G175" s="1405" t="str">
        <f>InpCompany!$F$11</f>
        <v>£m (2017-18 prices)</v>
      </c>
      <c r="H175" s="446"/>
      <c r="I175" s="446"/>
      <c r="J175" s="601">
        <f t="shared" ref="J175:K180" si="16">J$159*J166</f>
        <v>0</v>
      </c>
      <c r="K175" s="601">
        <f t="shared" si="16"/>
        <v>0</v>
      </c>
      <c r="L175" s="601"/>
    </row>
    <row r="176" spans="1:12" s="1386" customFormat="1" ht="13">
      <c r="A176" s="1382"/>
      <c r="B176" s="1238"/>
      <c r="C176" s="1238"/>
      <c r="D176" s="1403"/>
      <c r="E176" s="501" t="s">
        <v>1497</v>
      </c>
      <c r="F176" s="446"/>
      <c r="G176" s="1405" t="str">
        <f>InpCompany!$F$11</f>
        <v>£m (2017-18 prices)</v>
      </c>
      <c r="H176" s="446"/>
      <c r="I176" s="446"/>
      <c r="J176" s="601">
        <f t="shared" si="16"/>
        <v>0</v>
      </c>
      <c r="K176" s="601">
        <f t="shared" si="16"/>
        <v>0</v>
      </c>
      <c r="L176" s="601"/>
    </row>
    <row r="177" spans="1:12" s="1386" customFormat="1" ht="13">
      <c r="A177" s="1382"/>
      <c r="B177" s="1238"/>
      <c r="C177" s="1238"/>
      <c r="D177" s="1403"/>
      <c r="E177" s="501" t="s">
        <v>1498</v>
      </c>
      <c r="F177" s="446"/>
      <c r="G177" s="1405" t="str">
        <f>InpCompany!$F$11</f>
        <v>£m (2017-18 prices)</v>
      </c>
      <c r="H177" s="446"/>
      <c r="I177" s="446"/>
      <c r="J177" s="601">
        <f t="shared" si="16"/>
        <v>0</v>
      </c>
      <c r="K177" s="601">
        <f t="shared" si="16"/>
        <v>0</v>
      </c>
      <c r="L177" s="601"/>
    </row>
    <row r="178" spans="1:12" s="1386" customFormat="1" ht="13">
      <c r="A178" s="1382"/>
      <c r="B178" s="1238"/>
      <c r="C178" s="1238"/>
      <c r="D178" s="1403"/>
      <c r="E178" s="501" t="s">
        <v>1499</v>
      </c>
      <c r="F178" s="446"/>
      <c r="G178" s="1405" t="str">
        <f>InpCompany!$F$11</f>
        <v>£m (2017-18 prices)</v>
      </c>
      <c r="H178" s="446"/>
      <c r="I178" s="446"/>
      <c r="J178" s="601">
        <f t="shared" si="16"/>
        <v>0</v>
      </c>
      <c r="K178" s="601">
        <f t="shared" si="16"/>
        <v>0</v>
      </c>
      <c r="L178" s="601"/>
    </row>
    <row r="179" spans="1:12" s="1386" customFormat="1" ht="13">
      <c r="A179" s="1382"/>
      <c r="B179" s="1238"/>
      <c r="C179" s="1238"/>
      <c r="D179" s="1403"/>
      <c r="E179" s="501" t="s">
        <v>1500</v>
      </c>
      <c r="F179" s="446"/>
      <c r="G179" s="1405" t="str">
        <f>InpCompany!$F$11</f>
        <v>£m (2017-18 prices)</v>
      </c>
      <c r="H179" s="446"/>
      <c r="I179" s="446"/>
      <c r="J179" s="601">
        <f t="shared" si="16"/>
        <v>0</v>
      </c>
      <c r="K179" s="601">
        <f t="shared" si="16"/>
        <v>0</v>
      </c>
      <c r="L179" s="601"/>
    </row>
    <row r="180" spans="1:12" s="1386" customFormat="1" ht="13">
      <c r="A180" s="1382"/>
      <c r="B180" s="1238"/>
      <c r="C180" s="1238"/>
      <c r="D180" s="1403"/>
      <c r="E180" s="501" t="s">
        <v>1501</v>
      </c>
      <c r="F180" s="446"/>
      <c r="G180" s="1405" t="str">
        <f>InpCompany!$F$11</f>
        <v>£m (2017-18 prices)</v>
      </c>
      <c r="H180" s="446"/>
      <c r="I180" s="446"/>
      <c r="J180" s="601">
        <f t="shared" si="16"/>
        <v>0</v>
      </c>
      <c r="K180" s="601">
        <f t="shared" si="16"/>
        <v>0</v>
      </c>
      <c r="L180" s="601"/>
    </row>
    <row r="181" spans="1:12" s="1386" customFormat="1" ht="14.5">
      <c r="A181" s="1382"/>
      <c r="B181" s="1238"/>
      <c r="C181" s="1238"/>
      <c r="D181" s="1403"/>
      <c r="E181" s="1353"/>
      <c r="F181" s="446"/>
      <c r="G181" s="462"/>
      <c r="H181" s="446"/>
      <c r="I181" s="446"/>
      <c r="J181" s="446"/>
      <c r="K181" s="446"/>
      <c r="L181" s="446"/>
    </row>
    <row r="182" spans="1:12" s="1386" customFormat="1" ht="13">
      <c r="A182" s="1382"/>
      <c r="B182" s="1238"/>
      <c r="C182" s="1238"/>
      <c r="D182" s="1429" t="s">
        <v>1502</v>
      </c>
      <c r="E182" s="451"/>
      <c r="F182" s="451"/>
      <c r="G182" s="654"/>
      <c r="H182" s="446"/>
      <c r="I182" s="446"/>
      <c r="J182" s="446"/>
      <c r="K182" s="446"/>
      <c r="L182" s="446"/>
    </row>
    <row r="183" spans="1:12" s="1386" customFormat="1" ht="13">
      <c r="A183" s="1382"/>
      <c r="B183" s="1238"/>
      <c r="C183" s="1238"/>
      <c r="D183" s="1403"/>
      <c r="E183" s="501" t="s">
        <v>1503</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
      <c r="A184" s="1382"/>
      <c r="B184" s="1238"/>
      <c r="C184" s="1238"/>
      <c r="D184" s="1403"/>
      <c r="E184" s="501" t="s">
        <v>1504</v>
      </c>
      <c r="F184" s="446"/>
      <c r="G184" s="1405" t="str">
        <f>InpCompany!$F$11</f>
        <v>£m (2017-18 prices)</v>
      </c>
      <c r="H184" s="1408">
        <f t="shared" ref="H184:H189" si="18">J184+K184+L184</f>
        <v>-6.9345229333333336</v>
      </c>
      <c r="I184" s="620"/>
      <c r="J184" s="601">
        <f t="shared" ref="J184:L184" si="19">J145-J175</f>
        <v>-6.9345229333333336</v>
      </c>
      <c r="K184" s="601">
        <f t="shared" si="19"/>
        <v>0</v>
      </c>
      <c r="L184" s="601">
        <f t="shared" si="19"/>
        <v>0</v>
      </c>
    </row>
    <row r="185" spans="1:12" s="1386" customFormat="1" ht="13">
      <c r="A185" s="1382"/>
      <c r="B185" s="1238"/>
      <c r="C185" s="1238"/>
      <c r="D185" s="1403"/>
      <c r="E185" s="501" t="s">
        <v>1505</v>
      </c>
      <c r="F185" s="446"/>
      <c r="G185" s="1405" t="str">
        <f>InpCompany!$F$11</f>
        <v>£m (2017-18 prices)</v>
      </c>
      <c r="H185" s="1408">
        <f t="shared" si="18"/>
        <v>-0.97775040000000402</v>
      </c>
      <c r="I185" s="620"/>
      <c r="J185" s="601">
        <f t="shared" ref="J185:L185" si="20">J146-J176</f>
        <v>0</v>
      </c>
      <c r="K185" s="601">
        <f t="shared" si="20"/>
        <v>-0.97775040000000402</v>
      </c>
      <c r="L185" s="601">
        <f t="shared" si="20"/>
        <v>0</v>
      </c>
    </row>
    <row r="186" spans="1:12" s="1386" customFormat="1" ht="13">
      <c r="A186" s="1382"/>
      <c r="B186" s="1238"/>
      <c r="C186" s="1238"/>
      <c r="D186" s="1403"/>
      <c r="E186" s="501" t="s">
        <v>1506</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
      <c r="A187" s="1382"/>
      <c r="B187" s="1238"/>
      <c r="C187" s="1238"/>
      <c r="D187" s="1403"/>
      <c r="E187" s="501" t="s">
        <v>1507</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
      <c r="A188" s="1382"/>
      <c r="B188" s="1238"/>
      <c r="C188" s="1238"/>
      <c r="D188" s="1403"/>
      <c r="E188" s="501" t="s">
        <v>1508</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
      <c r="A189" s="1382"/>
      <c r="B189" s="1238"/>
      <c r="C189" s="1238"/>
      <c r="D189" s="1403"/>
      <c r="E189" s="501" t="s">
        <v>1509</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
      <c r="A190" s="1382"/>
      <c r="B190" s="1238"/>
      <c r="C190" s="1238"/>
      <c r="D190" s="1238"/>
      <c r="E190" s="444"/>
      <c r="G190" s="608"/>
      <c r="H190" s="608"/>
      <c r="I190" s="1385"/>
      <c r="J190" s="1387"/>
      <c r="K190" s="1387"/>
      <c r="L190" s="1382"/>
    </row>
    <row r="191" spans="1:12" s="1386" customFormat="1" ht="13">
      <c r="A191" s="1382"/>
      <c r="B191" s="1238"/>
      <c r="C191" s="1430" t="s">
        <v>1438</v>
      </c>
      <c r="D191" s="1403"/>
      <c r="E191" s="444"/>
      <c r="G191" s="608"/>
      <c r="H191" s="608"/>
      <c r="I191" s="1385"/>
      <c r="J191" s="1387"/>
      <c r="K191" s="1387"/>
      <c r="L191" s="1382"/>
    </row>
    <row r="192" spans="1:12" s="1386" customFormat="1" ht="13">
      <c r="A192" s="1382"/>
      <c r="B192" s="1238"/>
      <c r="C192" s="1403"/>
      <c r="D192" s="1403"/>
      <c r="E192" s="444"/>
      <c r="G192" s="608"/>
      <c r="H192" s="608"/>
      <c r="I192" s="1385"/>
      <c r="J192" s="1387"/>
      <c r="K192" s="1387"/>
      <c r="L192" s="1382"/>
    </row>
    <row r="193" spans="1:12" s="1386" customFormat="1" ht="13">
      <c r="A193" s="1382"/>
      <c r="B193" s="1238"/>
      <c r="C193" s="1403"/>
      <c r="D193" s="1429" t="s">
        <v>1510</v>
      </c>
      <c r="E193" s="444"/>
      <c r="G193" s="608"/>
      <c r="H193" s="608"/>
      <c r="I193" s="1385"/>
      <c r="J193" s="1387"/>
      <c r="K193" s="1387"/>
      <c r="L193" s="1382"/>
    </row>
    <row r="194" spans="1:12" s="234" customFormat="1" ht="13">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
      <c r="A195" s="644"/>
      <c r="B195" s="1427"/>
      <c r="C195" s="1427"/>
      <c r="D195" s="1427"/>
      <c r="E195" s="596" t="str">
        <f>Performance!E308</f>
        <v>Proportion of underperformance payments to be paid in-period - Water network plus</v>
      </c>
      <c r="F195" s="1419">
        <f>Performance!F308</f>
        <v>0.7173273462580132</v>
      </c>
      <c r="G195" s="596" t="str">
        <f>Performance!G308</f>
        <v>Percentage</v>
      </c>
      <c r="H195" s="574"/>
      <c r="I195" s="645"/>
      <c r="J195" s="1388"/>
      <c r="K195" s="1388"/>
      <c r="L195" s="644"/>
    </row>
    <row r="196" spans="1:12" s="234" customFormat="1" ht="13">
      <c r="A196" s="644"/>
      <c r="B196" s="1427"/>
      <c r="C196" s="1427"/>
      <c r="D196" s="1427"/>
      <c r="E196" s="596" t="str">
        <f>Performance!E309</f>
        <v>Proportion of underperformance payments to be paid in-period - Wastewater network plus</v>
      </c>
      <c r="F196" s="1419">
        <f>Performance!F309</f>
        <v>1</v>
      </c>
      <c r="G196" s="596" t="str">
        <f>Performance!G309</f>
        <v>Percentage</v>
      </c>
      <c r="H196" s="574"/>
      <c r="I196" s="645"/>
      <c r="J196" s="1388"/>
      <c r="K196" s="1388"/>
      <c r="L196" s="644"/>
    </row>
    <row r="197" spans="1:12" s="234" customFormat="1" ht="13">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
      <c r="A201" s="1793"/>
      <c r="B201" s="1794"/>
      <c r="C201" s="1794"/>
      <c r="D201" s="1795"/>
      <c r="E201" s="1796"/>
      <c r="F201" s="1796"/>
      <c r="G201" s="1796"/>
      <c r="H201" s="1797"/>
      <c r="I201" s="1796"/>
      <c r="J201" s="1796"/>
      <c r="K201" s="1796"/>
      <c r="L201" s="1796"/>
    </row>
    <row r="202" spans="1:12" s="1805" customFormat="1" ht="13">
      <c r="A202" s="1799"/>
      <c r="B202" s="1800"/>
      <c r="C202" s="1800"/>
      <c r="D202" s="1801" t="s">
        <v>1511</v>
      </c>
      <c r="E202" s="1799"/>
      <c r="F202" s="1802"/>
      <c r="G202" s="1420"/>
      <c r="H202" s="1420"/>
      <c r="I202" s="1803"/>
      <c r="J202" s="1804"/>
      <c r="K202" s="1804"/>
      <c r="L202" s="1799"/>
    </row>
    <row r="203" spans="1:12" s="1805" customFormat="1" ht="13">
      <c r="A203" s="1799"/>
      <c r="B203" s="1800"/>
      <c r="C203" s="1800"/>
      <c r="D203" s="1800"/>
      <c r="E203" s="1806" t="s">
        <v>1512</v>
      </c>
      <c r="F203" s="1807">
        <f>H183*F194</f>
        <v>0</v>
      </c>
      <c r="G203" s="1808" t="str">
        <f>InpCompany!$F$11</f>
        <v>£m (2017-18 prices)</v>
      </c>
      <c r="H203" s="1420"/>
      <c r="I203" s="1803"/>
      <c r="J203" s="1804"/>
      <c r="K203" s="1804"/>
      <c r="L203" s="1799"/>
    </row>
    <row r="204" spans="1:12" s="1805" customFormat="1" ht="13">
      <c r="A204" s="1799"/>
      <c r="B204" s="1800"/>
      <c r="C204" s="1800"/>
      <c r="D204" s="1800"/>
      <c r="E204" s="1806" t="s">
        <v>1513</v>
      </c>
      <c r="F204" s="1807">
        <f t="shared" ref="F204:F209" si="25">H184*F195</f>
        <v>-4.9743229333333332</v>
      </c>
      <c r="G204" s="1808" t="str">
        <f>InpCompany!$F$11</f>
        <v>£m (2017-18 prices)</v>
      </c>
      <c r="H204" s="1420"/>
      <c r="I204" s="1803"/>
      <c r="J204" s="1804"/>
      <c r="K204" s="1804"/>
      <c r="L204" s="1799"/>
    </row>
    <row r="205" spans="1:12" s="1805" customFormat="1" ht="13">
      <c r="A205" s="1799"/>
      <c r="B205" s="1800"/>
      <c r="C205" s="1800"/>
      <c r="D205" s="1800"/>
      <c r="E205" s="1806" t="s">
        <v>1514</v>
      </c>
      <c r="F205" s="1807">
        <f t="shared" si="25"/>
        <v>-0.97775040000000402</v>
      </c>
      <c r="G205" s="1808" t="str">
        <f>InpCompany!$F$11</f>
        <v>£m (2017-18 prices)</v>
      </c>
      <c r="H205" s="1420"/>
      <c r="I205" s="1803"/>
      <c r="J205" s="1804"/>
      <c r="K205" s="1804"/>
      <c r="L205" s="1799"/>
    </row>
    <row r="206" spans="1:12" s="1805" customFormat="1" ht="13">
      <c r="A206" s="1799"/>
      <c r="B206" s="1800"/>
      <c r="C206" s="1800"/>
      <c r="D206" s="1800"/>
      <c r="E206" s="1806" t="s">
        <v>1515</v>
      </c>
      <c r="F206" s="1807">
        <f t="shared" si="25"/>
        <v>0</v>
      </c>
      <c r="G206" s="1808" t="str">
        <f>InpCompany!$F$11</f>
        <v>£m (2017-18 prices)</v>
      </c>
      <c r="H206" s="1420"/>
      <c r="I206" s="1803"/>
      <c r="J206" s="1804"/>
      <c r="K206" s="1804"/>
      <c r="L206" s="1799"/>
    </row>
    <row r="207" spans="1:12" s="1805" customFormat="1" ht="13">
      <c r="A207" s="1799"/>
      <c r="B207" s="1800"/>
      <c r="C207" s="1800"/>
      <c r="D207" s="1800"/>
      <c r="E207" s="1806" t="s">
        <v>1516</v>
      </c>
      <c r="F207" s="1807">
        <f t="shared" si="25"/>
        <v>0</v>
      </c>
      <c r="G207" s="1808" t="str">
        <f>InpCompany!$F$11</f>
        <v>£m (2017-18 prices)</v>
      </c>
      <c r="H207" s="1420"/>
      <c r="I207" s="1803"/>
      <c r="J207" s="1804"/>
      <c r="K207" s="1804"/>
      <c r="L207" s="1799"/>
    </row>
    <row r="208" spans="1:12" s="1805" customFormat="1" ht="13">
      <c r="A208" s="1799"/>
      <c r="B208" s="1800"/>
      <c r="C208" s="1800"/>
      <c r="D208" s="1800"/>
      <c r="E208" s="1806" t="s">
        <v>1517</v>
      </c>
      <c r="F208" s="1807">
        <f t="shared" si="25"/>
        <v>0</v>
      </c>
      <c r="G208" s="1808" t="str">
        <f>InpCompany!$F$11</f>
        <v>£m (2017-18 prices)</v>
      </c>
      <c r="H208" s="1420"/>
      <c r="I208" s="1803"/>
      <c r="J208" s="1804"/>
      <c r="K208" s="1804"/>
      <c r="L208" s="1799"/>
    </row>
    <row r="209" spans="1:12" s="1805" customFormat="1" ht="13">
      <c r="A209" s="1799"/>
      <c r="B209" s="1800"/>
      <c r="C209" s="1800"/>
      <c r="D209" s="1800"/>
      <c r="E209" s="1806" t="s">
        <v>1518</v>
      </c>
      <c r="F209" s="1807">
        <f t="shared" si="25"/>
        <v>0</v>
      </c>
      <c r="G209" s="1808" t="str">
        <f>InpCompany!$F$11</f>
        <v>£m (2017-18 prices)</v>
      </c>
      <c r="H209" s="1420"/>
      <c r="I209" s="1803"/>
      <c r="J209" s="1804"/>
      <c r="K209" s="1804"/>
      <c r="L209" s="1799"/>
    </row>
    <row r="210" spans="1:12" s="1805" customFormat="1" ht="14.5">
      <c r="A210" s="1799"/>
      <c r="B210" s="1800"/>
      <c r="C210" s="1800"/>
      <c r="D210" s="1800"/>
      <c r="E210" s="1809"/>
      <c r="F210" s="1802"/>
      <c r="G210" s="1420"/>
      <c r="H210" s="1420"/>
      <c r="I210" s="1803"/>
      <c r="J210" s="1804"/>
      <c r="K210" s="1804"/>
      <c r="L210" s="1799"/>
    </row>
    <row r="211" spans="1:12" s="1805" customFormat="1" ht="14.5">
      <c r="A211" s="1799"/>
      <c r="B211" s="1800"/>
      <c r="C211" s="1800"/>
      <c r="D211" s="1801" t="s">
        <v>1519</v>
      </c>
      <c r="E211" s="1809"/>
      <c r="F211" s="1802"/>
      <c r="G211" s="1420"/>
      <c r="H211" s="1420"/>
      <c r="I211" s="1803"/>
      <c r="J211" s="1804"/>
      <c r="K211" s="1804"/>
      <c r="L211" s="1799"/>
    </row>
    <row r="212" spans="1:12" s="1805" customFormat="1" ht="13">
      <c r="A212" s="1799"/>
      <c r="B212" s="1800"/>
      <c r="C212" s="1800"/>
      <c r="D212" s="1800"/>
      <c r="E212" s="1806" t="s">
        <v>1520</v>
      </c>
      <c r="F212" s="1807">
        <f>H183*(1-F194)</f>
        <v>0</v>
      </c>
      <c r="G212" s="1808" t="str">
        <f>InpCompany!$F$11</f>
        <v>£m (2017-18 prices)</v>
      </c>
      <c r="H212" s="1420"/>
      <c r="I212" s="1803"/>
      <c r="J212" s="1804"/>
      <c r="K212" s="1804"/>
      <c r="L212" s="1799"/>
    </row>
    <row r="213" spans="1:12" s="1805" customFormat="1" ht="13">
      <c r="A213" s="1799"/>
      <c r="B213" s="1800"/>
      <c r="C213" s="1800"/>
      <c r="D213" s="1800"/>
      <c r="E213" s="1806" t="s">
        <v>1521</v>
      </c>
      <c r="F213" s="1807">
        <f t="shared" ref="F213:F218" si="26">H184*(1-F195)</f>
        <v>-1.9601999999999999</v>
      </c>
      <c r="G213" s="1808" t="str">
        <f>InpCompany!$F$11</f>
        <v>£m (2017-18 prices)</v>
      </c>
      <c r="H213" s="1420"/>
      <c r="I213" s="1803"/>
      <c r="J213" s="1804"/>
      <c r="K213" s="1804"/>
      <c r="L213" s="1799"/>
    </row>
    <row r="214" spans="1:12" s="1805" customFormat="1" ht="13">
      <c r="A214" s="1799"/>
      <c r="B214" s="1800"/>
      <c r="C214" s="1800"/>
      <c r="D214" s="1800"/>
      <c r="E214" s="1806" t="s">
        <v>1522</v>
      </c>
      <c r="F214" s="1807">
        <f t="shared" si="26"/>
        <v>0</v>
      </c>
      <c r="G214" s="1808" t="str">
        <f>InpCompany!$F$11</f>
        <v>£m (2017-18 prices)</v>
      </c>
      <c r="H214" s="1420"/>
      <c r="I214" s="1803"/>
      <c r="J214" s="1804"/>
      <c r="K214" s="1804"/>
      <c r="L214" s="1799"/>
    </row>
    <row r="215" spans="1:12" s="1805" customFormat="1" ht="13">
      <c r="A215" s="1799"/>
      <c r="B215" s="1800"/>
      <c r="C215" s="1800"/>
      <c r="D215" s="1800"/>
      <c r="E215" s="1806" t="s">
        <v>1523</v>
      </c>
      <c r="F215" s="1807">
        <f t="shared" si="26"/>
        <v>0</v>
      </c>
      <c r="G215" s="1808" t="str">
        <f>InpCompany!$F$11</f>
        <v>£m (2017-18 prices)</v>
      </c>
      <c r="H215" s="1420"/>
      <c r="I215" s="1803"/>
      <c r="J215" s="1804"/>
      <c r="K215" s="1804"/>
      <c r="L215" s="1799"/>
    </row>
    <row r="216" spans="1:12" s="1805" customFormat="1" ht="13">
      <c r="A216" s="1799"/>
      <c r="B216" s="1800"/>
      <c r="C216" s="1800"/>
      <c r="D216" s="1800"/>
      <c r="E216" s="1806" t="s">
        <v>1524</v>
      </c>
      <c r="F216" s="1807">
        <f t="shared" si="26"/>
        <v>0</v>
      </c>
      <c r="G216" s="1808" t="str">
        <f>InpCompany!$F$11</f>
        <v>£m (2017-18 prices)</v>
      </c>
      <c r="H216" s="1420"/>
      <c r="I216" s="1803"/>
      <c r="J216" s="1804"/>
      <c r="K216" s="1804"/>
      <c r="L216" s="1799"/>
    </row>
    <row r="217" spans="1:12" s="1805" customFormat="1" ht="13">
      <c r="A217" s="1799"/>
      <c r="B217" s="1800"/>
      <c r="C217" s="1800"/>
      <c r="D217" s="1800"/>
      <c r="E217" s="1806" t="s">
        <v>1525</v>
      </c>
      <c r="F217" s="1807">
        <f t="shared" si="26"/>
        <v>0</v>
      </c>
      <c r="G217" s="1808" t="str">
        <f>InpCompany!$F$11</f>
        <v>£m (2017-18 prices)</v>
      </c>
      <c r="H217" s="1420"/>
      <c r="I217" s="1803"/>
      <c r="J217" s="1810"/>
      <c r="K217" s="1804"/>
      <c r="L217" s="1799"/>
    </row>
    <row r="218" spans="1:12" s="1805" customFormat="1" ht="13">
      <c r="A218" s="1799"/>
      <c r="B218" s="1800"/>
      <c r="C218" s="1800"/>
      <c r="D218" s="1800"/>
      <c r="E218" s="1806" t="s">
        <v>1526</v>
      </c>
      <c r="F218" s="1807">
        <f t="shared" si="26"/>
        <v>0</v>
      </c>
      <c r="G218" s="1808" t="str">
        <f>InpCompany!$F$11</f>
        <v>£m (2017-18 prices)</v>
      </c>
      <c r="H218" s="1799"/>
      <c r="I218" s="1803"/>
      <c r="J218" s="1799"/>
      <c r="K218" s="1799"/>
      <c r="L218" s="1799"/>
    </row>
    <row r="219" spans="1:12" s="1386" customFormat="1" ht="13">
      <c r="A219" s="1382"/>
      <c r="B219" s="1238"/>
      <c r="C219" s="1238"/>
      <c r="D219" s="1238"/>
      <c r="E219" s="444"/>
      <c r="F219" s="1393"/>
      <c r="G219" s="608"/>
      <c r="H219" s="608"/>
      <c r="I219" s="1385"/>
      <c r="J219" s="1387"/>
      <c r="K219" s="1387"/>
      <c r="L219" s="1382"/>
    </row>
    <row r="220" spans="1:12" s="205" customFormat="1" ht="13">
      <c r="A220" s="632" t="s">
        <v>1527</v>
      </c>
      <c r="B220" s="633"/>
      <c r="C220" s="633"/>
      <c r="D220" s="634"/>
      <c r="E220" s="635"/>
      <c r="F220" s="635"/>
      <c r="G220" s="635"/>
      <c r="H220" s="636"/>
      <c r="I220" s="635"/>
      <c r="J220" s="635"/>
      <c r="K220" s="635"/>
      <c r="L220" s="635"/>
    </row>
    <row r="221" spans="1:12" s="205" customFormat="1" ht="13">
      <c r="A221" s="1788"/>
      <c r="B221" s="1789"/>
      <c r="C221" s="1789"/>
      <c r="D221" s="1790"/>
      <c r="E221" s="1791"/>
      <c r="F221" s="1791"/>
      <c r="G221" s="1791"/>
      <c r="H221" s="1792"/>
      <c r="I221" s="1791"/>
      <c r="J221" s="1791"/>
      <c r="K221" s="1791"/>
      <c r="L221" s="1791"/>
    </row>
    <row r="222" spans="1:12" s="1386" customFormat="1" ht="13">
      <c r="A222" s="1382"/>
      <c r="B222" s="1238"/>
      <c r="C222" s="1238"/>
      <c r="D222" s="1429" t="s">
        <v>1511</v>
      </c>
      <c r="E222" s="446"/>
      <c r="F222" s="1393"/>
      <c r="G222" s="608"/>
      <c r="H222" s="608"/>
      <c r="I222" s="1385"/>
      <c r="J222" s="1387"/>
      <c r="K222" s="1387"/>
      <c r="L222" s="1382"/>
    </row>
    <row r="223" spans="1:12" s="1391" customFormat="1" ht="13">
      <c r="A223" s="658"/>
      <c r="B223" s="1431"/>
      <c r="C223" s="1431"/>
      <c r="D223" s="1431"/>
      <c r="E223" s="1409" t="s">
        <v>1512</v>
      </c>
      <c r="F223" s="1812">
        <f>IF('Sharing mechanism'!$F$100=FALSE, Performance!F269, F203)</f>
        <v>0</v>
      </c>
      <c r="G223" s="1410" t="str">
        <f>InpCompany!$F$11</f>
        <v>£m (2017-18 prices)</v>
      </c>
      <c r="H223" s="623"/>
      <c r="I223" s="657"/>
      <c r="J223" s="1390"/>
      <c r="K223" s="1390"/>
      <c r="L223" s="658"/>
    </row>
    <row r="224" spans="1:12" s="1391" customFormat="1" ht="13">
      <c r="A224" s="658"/>
      <c r="B224" s="1431"/>
      <c r="C224" s="1431"/>
      <c r="D224" s="1431"/>
      <c r="E224" s="1409" t="s">
        <v>1513</v>
      </c>
      <c r="F224" s="1812">
        <f>IF('Sharing mechanism'!$F$100=FALSE, Performance!F270, F204)</f>
        <v>-4.9743229333333332</v>
      </c>
      <c r="G224" s="1410" t="str">
        <f>InpCompany!$F$11</f>
        <v>£m (2017-18 prices)</v>
      </c>
      <c r="H224" s="623"/>
      <c r="I224" s="657"/>
      <c r="J224" s="1390"/>
      <c r="K224" s="1390"/>
      <c r="L224" s="658"/>
    </row>
    <row r="225" spans="1:12" s="1391" customFormat="1" ht="13">
      <c r="A225" s="658"/>
      <c r="B225" s="1431"/>
      <c r="C225" s="1431"/>
      <c r="D225" s="1431"/>
      <c r="E225" s="1409" t="s">
        <v>1514</v>
      </c>
      <c r="F225" s="1812">
        <f>IF('Sharing mechanism'!$F$100=FALSE, Performance!F271, F205)</f>
        <v>-0.97775040000000402</v>
      </c>
      <c r="G225" s="1410" t="str">
        <f>InpCompany!$F$11</f>
        <v>£m (2017-18 prices)</v>
      </c>
      <c r="H225" s="623"/>
      <c r="I225" s="657"/>
      <c r="J225" s="1390"/>
      <c r="K225" s="1390"/>
      <c r="L225" s="658"/>
    </row>
    <row r="226" spans="1:12" s="1391" customFormat="1" ht="13">
      <c r="A226" s="658"/>
      <c r="B226" s="1431"/>
      <c r="C226" s="1431"/>
      <c r="D226" s="1431"/>
      <c r="E226" s="1409" t="s">
        <v>1515</v>
      </c>
      <c r="F226" s="1812">
        <f>IF('Sharing mechanism'!$F$100=FALSE, Performance!F272, F206)</f>
        <v>0</v>
      </c>
      <c r="G226" s="1410" t="str">
        <f>InpCompany!$F$11</f>
        <v>£m (2017-18 prices)</v>
      </c>
      <c r="H226" s="623"/>
      <c r="I226" s="657"/>
      <c r="J226" s="1390"/>
      <c r="K226" s="1390"/>
      <c r="L226" s="658"/>
    </row>
    <row r="227" spans="1:12" s="1391" customFormat="1" ht="13">
      <c r="A227" s="658"/>
      <c r="B227" s="1431"/>
      <c r="C227" s="1431"/>
      <c r="D227" s="1431"/>
      <c r="E227" s="1409" t="s">
        <v>1516</v>
      </c>
      <c r="F227" s="1812">
        <f>IF('Sharing mechanism'!$F$100=FALSE, Performance!F273, F207)</f>
        <v>0</v>
      </c>
      <c r="G227" s="1410" t="str">
        <f>InpCompany!$F$11</f>
        <v>£m (2017-18 prices)</v>
      </c>
      <c r="H227" s="623"/>
      <c r="I227" s="657"/>
      <c r="J227" s="1390"/>
      <c r="K227" s="1390"/>
      <c r="L227" s="658"/>
    </row>
    <row r="228" spans="1:12" s="1391" customFormat="1" ht="13">
      <c r="A228" s="658"/>
      <c r="B228" s="1431"/>
      <c r="C228" s="1431"/>
      <c r="D228" s="1431"/>
      <c r="E228" s="1409" t="s">
        <v>1517</v>
      </c>
      <c r="F228" s="1812">
        <f>IF('Sharing mechanism'!$F$100=FALSE, Performance!F274, F208)</f>
        <v>0</v>
      </c>
      <c r="G228" s="1410" t="str">
        <f>InpCompany!$F$11</f>
        <v>£m (2017-18 prices)</v>
      </c>
      <c r="H228" s="623"/>
      <c r="I228" s="657"/>
      <c r="J228" s="1390"/>
      <c r="K228" s="1390"/>
      <c r="L228" s="658"/>
    </row>
    <row r="229" spans="1:12" s="1391" customFormat="1" ht="13">
      <c r="A229" s="658"/>
      <c r="B229" s="1431"/>
      <c r="C229" s="1431"/>
      <c r="D229" s="1431"/>
      <c r="E229" s="1409" t="s">
        <v>1518</v>
      </c>
      <c r="F229" s="1812">
        <f>IF('Sharing mechanism'!$F$100=FALSE, Performance!F275, F209)</f>
        <v>0</v>
      </c>
      <c r="G229" s="1410" t="str">
        <f>InpCompany!$F$11</f>
        <v>£m (2017-18 prices)</v>
      </c>
      <c r="H229" s="623"/>
      <c r="I229" s="657"/>
      <c r="J229" s="1390"/>
      <c r="K229" s="1390"/>
      <c r="L229" s="658"/>
    </row>
    <row r="230" spans="1:12" s="1386" customFormat="1" ht="14.5">
      <c r="A230" s="1382"/>
      <c r="B230" s="1238"/>
      <c r="C230" s="1238"/>
      <c r="D230" s="1403"/>
      <c r="E230" s="26"/>
      <c r="F230" s="1393"/>
      <c r="G230" s="608"/>
      <c r="H230" s="608"/>
      <c r="I230" s="1385"/>
      <c r="J230" s="1387"/>
      <c r="K230" s="1387"/>
      <c r="L230" s="1382"/>
    </row>
    <row r="231" spans="1:12" s="1386" customFormat="1" ht="14.5">
      <c r="A231" s="1382"/>
      <c r="B231" s="1238"/>
      <c r="C231" s="1238"/>
      <c r="D231" s="1429" t="s">
        <v>1519</v>
      </c>
      <c r="E231" s="26"/>
      <c r="F231" s="1393"/>
      <c r="G231" s="608"/>
      <c r="H231" s="608"/>
      <c r="I231" s="1385"/>
      <c r="J231" s="1387"/>
      <c r="K231" s="1387"/>
      <c r="L231" s="1382"/>
    </row>
    <row r="232" spans="1:12" s="1391" customFormat="1" ht="13">
      <c r="A232" s="658"/>
      <c r="B232" s="1431"/>
      <c r="C232" s="1431"/>
      <c r="D232" s="1431"/>
      <c r="E232" s="1409" t="s">
        <v>1520</v>
      </c>
      <c r="F232" s="1812">
        <f>IF('Sharing mechanism'!$F$100=FALSE, Performance!F287, F212)</f>
        <v>0</v>
      </c>
      <c r="G232" s="1410" t="str">
        <f>InpCompany!$F$11</f>
        <v>£m (2017-18 prices)</v>
      </c>
      <c r="H232" s="623"/>
      <c r="I232" s="657"/>
      <c r="J232" s="1390"/>
      <c r="K232" s="1390"/>
      <c r="L232" s="658"/>
    </row>
    <row r="233" spans="1:12" s="1391" customFormat="1" ht="13">
      <c r="A233" s="658"/>
      <c r="B233" s="1431"/>
      <c r="C233" s="1431"/>
      <c r="D233" s="1431"/>
      <c r="E233" s="1409" t="s">
        <v>1521</v>
      </c>
      <c r="F233" s="1812">
        <f>IF('Sharing mechanism'!$F$100=FALSE, Performance!F288, F213)</f>
        <v>-1.9602000000000004</v>
      </c>
      <c r="G233" s="1410" t="str">
        <f>InpCompany!$F$11</f>
        <v>£m (2017-18 prices)</v>
      </c>
      <c r="H233" s="623"/>
      <c r="I233" s="657"/>
      <c r="J233" s="1390"/>
      <c r="K233" s="1390"/>
      <c r="L233" s="658"/>
    </row>
    <row r="234" spans="1:12" s="1391" customFormat="1" ht="13">
      <c r="A234" s="658"/>
      <c r="B234" s="1431"/>
      <c r="C234" s="1431"/>
      <c r="D234" s="1431"/>
      <c r="E234" s="1409" t="s">
        <v>1522</v>
      </c>
      <c r="F234" s="1812">
        <f>IF('Sharing mechanism'!$F$100=FALSE, Performance!F289, F214)</f>
        <v>0</v>
      </c>
      <c r="G234" s="1410" t="str">
        <f>InpCompany!$F$11</f>
        <v>£m (2017-18 prices)</v>
      </c>
      <c r="H234" s="623"/>
      <c r="I234" s="657"/>
      <c r="J234" s="1390"/>
      <c r="K234" s="1390"/>
      <c r="L234" s="658"/>
    </row>
    <row r="235" spans="1:12" s="1391" customFormat="1" ht="13">
      <c r="A235" s="658"/>
      <c r="B235" s="1431"/>
      <c r="C235" s="1431"/>
      <c r="D235" s="1431"/>
      <c r="E235" s="1409" t="s">
        <v>1523</v>
      </c>
      <c r="F235" s="1812">
        <f>IF('Sharing mechanism'!$F$100=FALSE, Performance!F290, F215)</f>
        <v>0</v>
      </c>
      <c r="G235" s="1410" t="str">
        <f>InpCompany!$F$11</f>
        <v>£m (2017-18 prices)</v>
      </c>
      <c r="H235" s="623"/>
      <c r="I235" s="657"/>
      <c r="J235" s="1390"/>
      <c r="K235" s="1390"/>
      <c r="L235" s="658"/>
    </row>
    <row r="236" spans="1:12" s="1391" customFormat="1" ht="13">
      <c r="A236" s="658"/>
      <c r="B236" s="1431"/>
      <c r="C236" s="1431"/>
      <c r="D236" s="1431"/>
      <c r="E236" s="1409" t="s">
        <v>1524</v>
      </c>
      <c r="F236" s="1812">
        <f>IF('Sharing mechanism'!$F$100=FALSE, Performance!F291, F216)</f>
        <v>0</v>
      </c>
      <c r="G236" s="1410" t="str">
        <f>InpCompany!$F$11</f>
        <v>£m (2017-18 prices)</v>
      </c>
      <c r="H236" s="623"/>
      <c r="I236" s="657"/>
      <c r="J236" s="1390"/>
      <c r="K236" s="1390"/>
      <c r="L236" s="658"/>
    </row>
    <row r="237" spans="1:12" s="1391" customFormat="1" ht="13">
      <c r="A237" s="658"/>
      <c r="B237" s="1431"/>
      <c r="C237" s="1431"/>
      <c r="D237" s="1431"/>
      <c r="E237" s="1409" t="s">
        <v>1525</v>
      </c>
      <c r="F237" s="1812">
        <f>IF('Sharing mechanism'!$F$100=FALSE, Performance!F292, F217)</f>
        <v>0</v>
      </c>
      <c r="G237" s="1410" t="str">
        <f>InpCompany!$F$11</f>
        <v>£m (2017-18 prices)</v>
      </c>
      <c r="H237" s="623"/>
      <c r="I237" s="657"/>
      <c r="J237" s="1392"/>
      <c r="K237" s="1390"/>
      <c r="L237" s="658"/>
    </row>
    <row r="238" spans="1:12" s="1391" customFormat="1" ht="13">
      <c r="A238" s="658"/>
      <c r="B238" s="1431"/>
      <c r="C238" s="1431"/>
      <c r="D238" s="1431"/>
      <c r="E238" s="1409" t="s">
        <v>1526</v>
      </c>
      <c r="F238" s="1812">
        <f>IF('Sharing mechanism'!$F$100=FALSE, Performance!F293, F218)</f>
        <v>0</v>
      </c>
      <c r="G238" s="1410" t="str">
        <f>InpCompany!$F$11</f>
        <v>£m (2017-18 prices)</v>
      </c>
      <c r="H238" s="658"/>
      <c r="I238" s="657"/>
      <c r="J238" s="658"/>
      <c r="K238" s="658"/>
      <c r="L238" s="658"/>
    </row>
    <row r="239" spans="1:12" s="1386" customFormat="1" ht="13">
      <c r="A239" s="1382"/>
      <c r="B239" s="1382"/>
      <c r="C239" s="1382"/>
      <c r="D239" s="1382"/>
      <c r="E239" s="1382"/>
      <c r="F239" s="1382"/>
      <c r="G239" s="1384"/>
      <c r="H239" s="1382"/>
      <c r="I239" s="1382"/>
      <c r="J239" s="1382"/>
      <c r="K239" s="1382"/>
      <c r="L239" s="1382"/>
    </row>
    <row r="240" spans="1:12" ht="20.5">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Northumbrian Water</v>
      </c>
      <c r="I1" s="238"/>
      <c r="L1" s="239"/>
    </row>
    <row r="2" spans="1:13" s="240" customFormat="1" ht="13">
      <c r="A2" s="662"/>
      <c r="B2" s="662"/>
      <c r="C2" s="662"/>
      <c r="D2" s="662"/>
      <c r="E2" s="662"/>
      <c r="F2" s="637" t="s">
        <v>1045</v>
      </c>
      <c r="G2" s="637" t="s">
        <v>131</v>
      </c>
      <c r="H2" s="637" t="s">
        <v>1046</v>
      </c>
      <c r="I2" s="662"/>
    </row>
    <row r="3" spans="1:13" s="205" customFormat="1" ht="13">
      <c r="A3" s="632" t="s">
        <v>1528</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1529</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1440</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0.20307510000000001</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2.9278982580000008</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2.2109585960000002</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4.1681177999999999E-2</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1.4388588680000001</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1530</v>
      </c>
      <c r="E16" s="444"/>
      <c r="F16" s="485"/>
      <c r="G16" s="485"/>
      <c r="H16" s="574"/>
      <c r="I16" s="444"/>
    </row>
    <row r="17" spans="1:9" s="227" customFormat="1" ht="13">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
      <c r="A18" s="574"/>
      <c r="B18" s="574"/>
      <c r="C18" s="574"/>
      <c r="D18" s="596"/>
      <c r="E18" s="1411" t="str">
        <f>'Sharing mechanism'!E224</f>
        <v>Underperformance payments after sharing (to be applied in-period) - Water network plus</v>
      </c>
      <c r="F18" s="606">
        <f>'Sharing mechanism'!F224</f>
        <v>-4.9743229333333332</v>
      </c>
      <c r="G18" s="1411" t="str">
        <f>'Sharing mechanism'!G224</f>
        <v>£m (2017-18 prices)</v>
      </c>
      <c r="H18" s="579"/>
      <c r="I18" s="574"/>
    </row>
    <row r="19" spans="1:9" s="227" customFormat="1" ht="13">
      <c r="A19" s="574"/>
      <c r="B19" s="574"/>
      <c r="C19" s="574"/>
      <c r="D19" s="596"/>
      <c r="E19" s="1411" t="str">
        <f>'Sharing mechanism'!E225</f>
        <v>Underperformance payments after sharing (to be applied in-period) - Wastewater network plus</v>
      </c>
      <c r="F19" s="606">
        <f>'Sharing mechanism'!F225</f>
        <v>-0.97775040000000402</v>
      </c>
      <c r="G19" s="1411" t="str">
        <f>'Sharing mechanism'!G225</f>
        <v>£m (2017-18 prices)</v>
      </c>
      <c r="H19" s="579"/>
      <c r="I19" s="574"/>
    </row>
    <row r="20" spans="1:9" s="227" customFormat="1" ht="13">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1531</v>
      </c>
      <c r="E25" s="444"/>
      <c r="F25" s="485"/>
      <c r="G25" s="485"/>
      <c r="H25" s="444"/>
      <c r="I25" s="444"/>
    </row>
    <row r="26" spans="1:9" s="229" customFormat="1" ht="13">
      <c r="A26" s="623"/>
      <c r="B26" s="623"/>
      <c r="C26" s="623"/>
      <c r="D26" s="623"/>
      <c r="E26" s="623" t="s">
        <v>1532</v>
      </c>
      <c r="F26" s="671">
        <f>F8+F17</f>
        <v>0.20307510000000001</v>
      </c>
      <c r="G26" s="672" t="str">
        <f>InpCompany!$F$11</f>
        <v>£m (2017-18 prices)</v>
      </c>
      <c r="H26" s="671"/>
      <c r="I26" s="623"/>
    </row>
    <row r="27" spans="1:9" s="229" customFormat="1" ht="13">
      <c r="A27" s="623"/>
      <c r="B27" s="623"/>
      <c r="C27" s="623"/>
      <c r="D27" s="623"/>
      <c r="E27" s="623" t="s">
        <v>1533</v>
      </c>
      <c r="F27" s="671">
        <f t="shared" ref="F27:F32" si="0">F9+F18</f>
        <v>-2.0464246753333324</v>
      </c>
      <c r="G27" s="672" t="str">
        <f>InpCompany!$F$11</f>
        <v>£m (2017-18 prices)</v>
      </c>
      <c r="H27" s="671"/>
      <c r="I27" s="623"/>
    </row>
    <row r="28" spans="1:9" s="229" customFormat="1" ht="13">
      <c r="A28" s="623"/>
      <c r="B28" s="623"/>
      <c r="C28" s="623"/>
      <c r="D28" s="623"/>
      <c r="E28" s="623" t="s">
        <v>1534</v>
      </c>
      <c r="F28" s="671">
        <f t="shared" si="0"/>
        <v>1.2332081959999961</v>
      </c>
      <c r="G28" s="672" t="str">
        <f>InpCompany!$F$11</f>
        <v>£m (2017-18 prices)</v>
      </c>
      <c r="H28" s="671"/>
      <c r="I28" s="623"/>
    </row>
    <row r="29" spans="1:9" s="229" customFormat="1" ht="13">
      <c r="A29" s="623"/>
      <c r="B29" s="623"/>
      <c r="C29" s="623"/>
      <c r="D29" s="623"/>
      <c r="E29" s="623" t="s">
        <v>1535</v>
      </c>
      <c r="F29" s="671">
        <f t="shared" si="0"/>
        <v>4.1681177999999999E-2</v>
      </c>
      <c r="G29" s="672" t="str">
        <f>InpCompany!$F$11</f>
        <v>£m (2017-18 prices)</v>
      </c>
      <c r="H29" s="671"/>
      <c r="I29" s="623"/>
    </row>
    <row r="30" spans="1:9" s="229" customFormat="1" ht="13">
      <c r="A30" s="623"/>
      <c r="B30" s="623"/>
      <c r="C30" s="623"/>
      <c r="D30" s="623"/>
      <c r="E30" s="623" t="s">
        <v>1536</v>
      </c>
      <c r="F30" s="671">
        <f t="shared" si="0"/>
        <v>1.4388588680000001</v>
      </c>
      <c r="G30" s="672" t="str">
        <f>InpCompany!$F$11</f>
        <v>£m (2017-18 prices)</v>
      </c>
      <c r="H30" s="671"/>
      <c r="I30" s="623"/>
    </row>
    <row r="31" spans="1:9" s="229" customFormat="1" ht="13">
      <c r="A31" s="623"/>
      <c r="B31" s="623"/>
      <c r="C31" s="623"/>
      <c r="D31" s="623"/>
      <c r="E31" s="623" t="s">
        <v>1537</v>
      </c>
      <c r="F31" s="671">
        <f t="shared" si="0"/>
        <v>0</v>
      </c>
      <c r="G31" s="672" t="str">
        <f>InpCompany!$F$11</f>
        <v>£m (2017-18 prices)</v>
      </c>
      <c r="H31" s="671"/>
      <c r="I31" s="623"/>
    </row>
    <row r="32" spans="1:9" s="229" customFormat="1" ht="13">
      <c r="A32" s="623"/>
      <c r="B32" s="623"/>
      <c r="C32" s="623"/>
      <c r="D32" s="623"/>
      <c r="E32" s="623" t="s">
        <v>1538</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1539</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1529</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1448</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1540</v>
      </c>
      <c r="E48" s="444"/>
      <c r="F48" s="485"/>
      <c r="G48" s="485"/>
      <c r="H48" s="574"/>
      <c r="I48" s="444"/>
    </row>
    <row r="49" spans="1:9" s="201" customFormat="1" ht="13">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
      <c r="A50" s="444"/>
      <c r="B50" s="444"/>
      <c r="C50" s="501"/>
      <c r="D50" s="501"/>
      <c r="E50" s="1412" t="str">
        <f>'Sharing mechanism'!E233</f>
        <v>Underperformance payments after sharing (to be applied end of period) - Water network plus</v>
      </c>
      <c r="F50" s="579">
        <f>'Sharing mechanism'!F233</f>
        <v>-1.9602000000000004</v>
      </c>
      <c r="G50" s="1412" t="str">
        <f>'Sharing mechanism'!G233</f>
        <v>£m (2017-18 prices)</v>
      </c>
      <c r="H50" s="579"/>
      <c r="I50" s="444"/>
    </row>
    <row r="51" spans="1:9" s="201" customFormat="1" ht="13">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1541</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1542</v>
      </c>
      <c r="E77" s="444"/>
      <c r="F77" s="485"/>
      <c r="G77" s="520"/>
      <c r="H77" s="444"/>
      <c r="I77" s="444"/>
    </row>
    <row r="78" spans="1:9" s="201" customFormat="1" ht="13">
      <c r="A78" s="444"/>
      <c r="B78" s="444"/>
      <c r="C78" s="444"/>
      <c r="D78" s="444"/>
      <c r="E78" s="444" t="s">
        <v>1543</v>
      </c>
      <c r="F78" s="483">
        <f>F40*(1-F60)</f>
        <v>0</v>
      </c>
      <c r="G78" s="520" t="str">
        <f>InpCompany!$F$11</f>
        <v>£m (2017-18 prices)</v>
      </c>
      <c r="H78" s="483"/>
      <c r="I78" s="444"/>
    </row>
    <row r="79" spans="1:9" s="201" customFormat="1" ht="13">
      <c r="A79" s="444"/>
      <c r="B79" s="444"/>
      <c r="C79" s="444"/>
      <c r="D79" s="444"/>
      <c r="E79" s="444" t="s">
        <v>1544</v>
      </c>
      <c r="F79" s="483">
        <f t="shared" ref="F79:F84" si="1">F41*(1-F61)</f>
        <v>0</v>
      </c>
      <c r="G79" s="520" t="str">
        <f>InpCompany!$F$11</f>
        <v>£m (2017-18 prices)</v>
      </c>
      <c r="H79" s="483"/>
      <c r="I79" s="444"/>
    </row>
    <row r="80" spans="1:9" s="201" customFormat="1" ht="13">
      <c r="A80" s="444"/>
      <c r="B80" s="444"/>
      <c r="C80" s="444"/>
      <c r="D80" s="444"/>
      <c r="E80" s="444" t="s">
        <v>1545</v>
      </c>
      <c r="F80" s="483">
        <f t="shared" si="1"/>
        <v>0</v>
      </c>
      <c r="G80" s="520" t="str">
        <f>InpCompany!$F$11</f>
        <v>£m (2017-18 prices)</v>
      </c>
      <c r="H80" s="483"/>
      <c r="I80" s="444"/>
    </row>
    <row r="81" spans="1:9" s="201" customFormat="1" ht="13">
      <c r="A81" s="444"/>
      <c r="B81" s="444"/>
      <c r="C81" s="444"/>
      <c r="D81" s="444"/>
      <c r="E81" s="444" t="s">
        <v>1546</v>
      </c>
      <c r="F81" s="483">
        <f t="shared" si="1"/>
        <v>0</v>
      </c>
      <c r="G81" s="520" t="str">
        <f>InpCompany!$F$11</f>
        <v>£m (2017-18 prices)</v>
      </c>
      <c r="H81" s="483"/>
      <c r="I81" s="444"/>
    </row>
    <row r="82" spans="1:9" s="201" customFormat="1" ht="13">
      <c r="A82" s="444"/>
      <c r="B82" s="444"/>
      <c r="C82" s="444"/>
      <c r="D82" s="444"/>
      <c r="E82" s="444" t="s">
        <v>1547</v>
      </c>
      <c r="F82" s="483">
        <f t="shared" si="1"/>
        <v>0</v>
      </c>
      <c r="G82" s="520" t="str">
        <f>InpCompany!$F$11</f>
        <v>£m (2017-18 prices)</v>
      </c>
      <c r="H82" s="483"/>
      <c r="I82" s="444"/>
    </row>
    <row r="83" spans="1:9" s="201" customFormat="1" ht="13">
      <c r="A83" s="444"/>
      <c r="B83" s="444"/>
      <c r="C83" s="444"/>
      <c r="D83" s="444"/>
      <c r="E83" s="444" t="s">
        <v>1548</v>
      </c>
      <c r="F83" s="483">
        <f t="shared" si="1"/>
        <v>0</v>
      </c>
      <c r="G83" s="520" t="str">
        <f>InpCompany!$F$11</f>
        <v>£m (2017-18 prices)</v>
      </c>
      <c r="H83" s="483"/>
      <c r="I83" s="444"/>
    </row>
    <row r="84" spans="1:9" s="201" customFormat="1" ht="13">
      <c r="A84" s="444"/>
      <c r="B84" s="444"/>
      <c r="C84" s="444"/>
      <c r="D84" s="444"/>
      <c r="E84" s="444" t="s">
        <v>1549</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1550</v>
      </c>
      <c r="E86" s="485"/>
      <c r="F86" s="485"/>
      <c r="G86" s="520"/>
      <c r="H86" s="608"/>
      <c r="I86" s="444"/>
    </row>
    <row r="87" spans="1:9" s="201" customFormat="1" ht="13">
      <c r="A87" s="444"/>
      <c r="B87" s="444"/>
      <c r="C87" s="444"/>
      <c r="D87" s="444"/>
      <c r="E87" s="444" t="s">
        <v>1551</v>
      </c>
      <c r="F87" s="483">
        <f>F40*F60</f>
        <v>0</v>
      </c>
      <c r="G87" s="520" t="str">
        <f>InpCompany!$F$11</f>
        <v>£m (2017-18 prices)</v>
      </c>
      <c r="H87" s="483"/>
      <c r="I87" s="444"/>
    </row>
    <row r="88" spans="1:9" s="201" customFormat="1" ht="13">
      <c r="A88" s="444"/>
      <c r="B88" s="444"/>
      <c r="C88" s="444"/>
      <c r="D88" s="444"/>
      <c r="E88" s="444" t="s">
        <v>1552</v>
      </c>
      <c r="F88" s="483">
        <f t="shared" ref="F88:F93" si="2">F41*F61</f>
        <v>0</v>
      </c>
      <c r="G88" s="520" t="str">
        <f>InpCompany!$F$11</f>
        <v>£m (2017-18 prices)</v>
      </c>
      <c r="H88" s="483"/>
      <c r="I88" s="444"/>
    </row>
    <row r="89" spans="1:9" s="201" customFormat="1" ht="13">
      <c r="A89" s="444"/>
      <c r="B89" s="444"/>
      <c r="C89" s="444"/>
      <c r="D89" s="444"/>
      <c r="E89" s="444" t="s">
        <v>1553</v>
      </c>
      <c r="F89" s="483">
        <f t="shared" si="2"/>
        <v>0</v>
      </c>
      <c r="G89" s="520" t="str">
        <f>InpCompany!$F$11</f>
        <v>£m (2017-18 prices)</v>
      </c>
      <c r="H89" s="483"/>
      <c r="I89" s="444"/>
    </row>
    <row r="90" spans="1:9" s="201" customFormat="1" ht="13">
      <c r="A90" s="444"/>
      <c r="B90" s="444"/>
      <c r="C90" s="444"/>
      <c r="D90" s="444"/>
      <c r="E90" s="444" t="s">
        <v>1554</v>
      </c>
      <c r="F90" s="483">
        <f t="shared" si="2"/>
        <v>0</v>
      </c>
      <c r="G90" s="520" t="str">
        <f>InpCompany!$F$11</f>
        <v>£m (2017-18 prices)</v>
      </c>
      <c r="H90" s="483"/>
      <c r="I90" s="444"/>
    </row>
    <row r="91" spans="1:9" s="201" customFormat="1" ht="13">
      <c r="A91" s="444"/>
      <c r="B91" s="444"/>
      <c r="C91" s="444"/>
      <c r="D91" s="444"/>
      <c r="E91" s="444" t="s">
        <v>1555</v>
      </c>
      <c r="F91" s="483">
        <f t="shared" si="2"/>
        <v>0</v>
      </c>
      <c r="G91" s="520" t="str">
        <f>InpCompany!$F$11</f>
        <v>£m (2017-18 prices)</v>
      </c>
      <c r="H91" s="483"/>
      <c r="I91" s="444"/>
    </row>
    <row r="92" spans="1:9" s="201" customFormat="1" ht="13">
      <c r="A92" s="444"/>
      <c r="B92" s="444"/>
      <c r="C92" s="444"/>
      <c r="D92" s="444"/>
      <c r="E92" s="444" t="s">
        <v>1556</v>
      </c>
      <c r="F92" s="483">
        <f t="shared" si="2"/>
        <v>0</v>
      </c>
      <c r="G92" s="520" t="str">
        <f>InpCompany!$F$11</f>
        <v>£m (2017-18 prices)</v>
      </c>
      <c r="H92" s="483"/>
      <c r="I92" s="444"/>
    </row>
    <row r="93" spans="1:9" s="201" customFormat="1" ht="13">
      <c r="A93" s="444"/>
      <c r="B93" s="444"/>
      <c r="C93" s="444"/>
      <c r="D93" s="444"/>
      <c r="E93" s="444" t="s">
        <v>1557</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1558</v>
      </c>
      <c r="E95" s="485"/>
      <c r="F95" s="485"/>
      <c r="G95" s="520"/>
      <c r="H95" s="608"/>
      <c r="I95" s="444"/>
    </row>
    <row r="96" spans="1:9" s="201" customFormat="1" ht="13">
      <c r="A96" s="444"/>
      <c r="B96" s="444"/>
      <c r="C96" s="444"/>
      <c r="D96" s="444"/>
      <c r="E96" s="444" t="s">
        <v>1559</v>
      </c>
      <c r="F96" s="483">
        <f>F49*(1-F69)</f>
        <v>0</v>
      </c>
      <c r="G96" s="520" t="str">
        <f>InpCompany!$F$11</f>
        <v>£m (2017-18 prices)</v>
      </c>
      <c r="H96" s="483"/>
      <c r="I96" s="444"/>
    </row>
    <row r="97" spans="1:9" s="201" customFormat="1" ht="13">
      <c r="A97" s="444"/>
      <c r="B97" s="444"/>
      <c r="C97" s="444"/>
      <c r="D97" s="444"/>
      <c r="E97" s="444" t="s">
        <v>1560</v>
      </c>
      <c r="F97" s="483">
        <f t="shared" ref="F97:F102" si="3">F50*(1-F70)</f>
        <v>-1.9602000000000004</v>
      </c>
      <c r="G97" s="520" t="str">
        <f>InpCompany!$F$11</f>
        <v>£m (2017-18 prices)</v>
      </c>
      <c r="H97" s="483"/>
      <c r="I97" s="444"/>
    </row>
    <row r="98" spans="1:9" s="201" customFormat="1" ht="13">
      <c r="A98" s="444"/>
      <c r="B98" s="444"/>
      <c r="C98" s="444"/>
      <c r="D98" s="444"/>
      <c r="E98" s="444" t="s">
        <v>1561</v>
      </c>
      <c r="F98" s="483">
        <f t="shared" si="3"/>
        <v>0</v>
      </c>
      <c r="G98" s="520" t="str">
        <f>InpCompany!$F$11</f>
        <v>£m (2017-18 prices)</v>
      </c>
      <c r="H98" s="483"/>
      <c r="I98" s="444"/>
    </row>
    <row r="99" spans="1:9" s="201" customFormat="1" ht="13">
      <c r="A99" s="444"/>
      <c r="B99" s="444"/>
      <c r="C99" s="444"/>
      <c r="D99" s="444"/>
      <c r="E99" s="444" t="s">
        <v>1562</v>
      </c>
      <c r="F99" s="483">
        <f t="shared" si="3"/>
        <v>0</v>
      </c>
      <c r="G99" s="520" t="str">
        <f>InpCompany!$F$11</f>
        <v>£m (2017-18 prices)</v>
      </c>
      <c r="H99" s="483"/>
      <c r="I99" s="444"/>
    </row>
    <row r="100" spans="1:9" s="201" customFormat="1" ht="13">
      <c r="A100" s="444"/>
      <c r="B100" s="444"/>
      <c r="C100" s="444"/>
      <c r="D100" s="444"/>
      <c r="E100" s="444" t="s">
        <v>1563</v>
      </c>
      <c r="F100" s="483">
        <f t="shared" si="3"/>
        <v>0</v>
      </c>
      <c r="G100" s="520" t="str">
        <f>InpCompany!$F$11</f>
        <v>£m (2017-18 prices)</v>
      </c>
      <c r="H100" s="483"/>
      <c r="I100" s="444"/>
    </row>
    <row r="101" spans="1:9" s="201" customFormat="1" ht="13">
      <c r="A101" s="444"/>
      <c r="B101" s="444"/>
      <c r="C101" s="444"/>
      <c r="D101" s="444"/>
      <c r="E101" s="444" t="s">
        <v>1564</v>
      </c>
      <c r="F101" s="483">
        <f t="shared" si="3"/>
        <v>0</v>
      </c>
      <c r="G101" s="520" t="str">
        <f>InpCompany!$F$11</f>
        <v>£m (2017-18 prices)</v>
      </c>
      <c r="H101" s="483"/>
      <c r="I101" s="444"/>
    </row>
    <row r="102" spans="1:9" s="201" customFormat="1" ht="13">
      <c r="A102" s="444"/>
      <c r="B102" s="444"/>
      <c r="C102" s="444"/>
      <c r="D102" s="444"/>
      <c r="E102" s="444" t="s">
        <v>1565</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1566</v>
      </c>
      <c r="E104" s="485"/>
      <c r="F104" s="485"/>
      <c r="G104" s="520"/>
      <c r="H104" s="608"/>
      <c r="I104" s="444"/>
    </row>
    <row r="105" spans="1:9" s="201" customFormat="1" ht="13">
      <c r="A105" s="444"/>
      <c r="B105" s="444"/>
      <c r="C105" s="444"/>
      <c r="D105" s="444"/>
      <c r="E105" s="444" t="s">
        <v>1567</v>
      </c>
      <c r="F105" s="483">
        <f>F49*F69</f>
        <v>0</v>
      </c>
      <c r="G105" s="520" t="str">
        <f>InpCompany!$F$11</f>
        <v>£m (2017-18 prices)</v>
      </c>
      <c r="H105" s="483"/>
      <c r="I105" s="444"/>
    </row>
    <row r="106" spans="1:9" s="201" customFormat="1" ht="13">
      <c r="A106" s="444"/>
      <c r="B106" s="444"/>
      <c r="C106" s="444"/>
      <c r="D106" s="444"/>
      <c r="E106" s="444" t="s">
        <v>1568</v>
      </c>
      <c r="F106" s="483">
        <f t="shared" ref="F106:F111" si="4">F50*F70</f>
        <v>0</v>
      </c>
      <c r="G106" s="520" t="str">
        <f>InpCompany!$F$11</f>
        <v>£m (2017-18 prices)</v>
      </c>
      <c r="H106" s="483"/>
      <c r="I106" s="444"/>
    </row>
    <row r="107" spans="1:9" s="201" customFormat="1" ht="13">
      <c r="A107" s="444"/>
      <c r="B107" s="444"/>
      <c r="C107" s="444"/>
      <c r="D107" s="444"/>
      <c r="E107" s="444" t="s">
        <v>1569</v>
      </c>
      <c r="F107" s="483">
        <f t="shared" si="4"/>
        <v>0</v>
      </c>
      <c r="G107" s="520" t="str">
        <f>InpCompany!$F$11</f>
        <v>£m (2017-18 prices)</v>
      </c>
      <c r="H107" s="483"/>
      <c r="I107" s="444"/>
    </row>
    <row r="108" spans="1:9" s="201" customFormat="1" ht="13">
      <c r="A108" s="444"/>
      <c r="B108" s="444"/>
      <c r="C108" s="444"/>
      <c r="D108" s="444"/>
      <c r="E108" s="444" t="s">
        <v>1570</v>
      </c>
      <c r="F108" s="483">
        <f t="shared" si="4"/>
        <v>0</v>
      </c>
      <c r="G108" s="520" t="str">
        <f>InpCompany!$F$11</f>
        <v>£m (2017-18 prices)</v>
      </c>
      <c r="H108" s="483"/>
      <c r="I108" s="444"/>
    </row>
    <row r="109" spans="1:9" s="201" customFormat="1" ht="13">
      <c r="A109" s="444"/>
      <c r="B109" s="444"/>
      <c r="C109" s="444"/>
      <c r="D109" s="444"/>
      <c r="E109" s="444" t="s">
        <v>1571</v>
      </c>
      <c r="F109" s="483">
        <f t="shared" si="4"/>
        <v>0</v>
      </c>
      <c r="G109" s="520" t="str">
        <f>InpCompany!$F$11</f>
        <v>£m (2017-18 prices)</v>
      </c>
      <c r="H109" s="483"/>
      <c r="I109" s="444"/>
    </row>
    <row r="110" spans="1:9" s="201" customFormat="1" ht="13">
      <c r="A110" s="444"/>
      <c r="B110" s="444"/>
      <c r="C110" s="444"/>
      <c r="D110" s="444"/>
      <c r="E110" s="444" t="s">
        <v>1572</v>
      </c>
      <c r="F110" s="483">
        <f t="shared" si="4"/>
        <v>0</v>
      </c>
      <c r="G110" s="520" t="str">
        <f>InpCompany!$F$11</f>
        <v>£m (2017-18 prices)</v>
      </c>
      <c r="H110" s="483"/>
      <c r="I110" s="444"/>
    </row>
    <row r="111" spans="1:9" s="201" customFormat="1" ht="13">
      <c r="A111" s="444"/>
      <c r="B111" s="444"/>
      <c r="C111" s="444"/>
      <c r="D111" s="444"/>
      <c r="E111" s="444" t="s">
        <v>1573</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1574</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1575</v>
      </c>
      <c r="E115" s="444"/>
      <c r="F115" s="485"/>
      <c r="G115" s="485"/>
      <c r="H115" s="444"/>
      <c r="I115" s="444"/>
    </row>
    <row r="116" spans="1:9" s="201" customFormat="1" ht="13">
      <c r="A116" s="444"/>
      <c r="B116" s="444"/>
      <c r="C116" s="444"/>
      <c r="D116" s="444"/>
      <c r="E116" s="623" t="s">
        <v>1201</v>
      </c>
      <c r="F116" s="671">
        <f>F78+F96</f>
        <v>0</v>
      </c>
      <c r="G116" s="672" t="str">
        <f>InpCompany!$F$11</f>
        <v>£m (2017-18 prices)</v>
      </c>
      <c r="H116" s="671"/>
      <c r="I116" s="444"/>
    </row>
    <row r="117" spans="1:9" s="201" customFormat="1" ht="13">
      <c r="A117" s="444"/>
      <c r="B117" s="444"/>
      <c r="C117" s="444"/>
      <c r="D117" s="444"/>
      <c r="E117" s="623" t="s">
        <v>1202</v>
      </c>
      <c r="F117" s="671">
        <f t="shared" ref="F117:F122" si="5">F79+F97</f>
        <v>-1.9602000000000004</v>
      </c>
      <c r="G117" s="672" t="str">
        <f>InpCompany!$F$11</f>
        <v>£m (2017-18 prices)</v>
      </c>
      <c r="H117" s="671"/>
      <c r="I117" s="444"/>
    </row>
    <row r="118" spans="1:9" s="201" customFormat="1" ht="13">
      <c r="A118" s="444"/>
      <c r="B118" s="444"/>
      <c r="C118" s="444"/>
      <c r="D118" s="444"/>
      <c r="E118" s="623" t="s">
        <v>1203</v>
      </c>
      <c r="F118" s="671">
        <f t="shared" si="5"/>
        <v>0</v>
      </c>
      <c r="G118" s="672" t="str">
        <f>InpCompany!$F$11</f>
        <v>£m (2017-18 prices)</v>
      </c>
      <c r="H118" s="671"/>
      <c r="I118" s="444"/>
    </row>
    <row r="119" spans="1:9" s="201" customFormat="1" ht="13">
      <c r="A119" s="444"/>
      <c r="B119" s="444"/>
      <c r="C119" s="444"/>
      <c r="D119" s="444"/>
      <c r="E119" s="623" t="s">
        <v>1204</v>
      </c>
      <c r="F119" s="671">
        <f t="shared" si="5"/>
        <v>0</v>
      </c>
      <c r="G119" s="672" t="str">
        <f>InpCompany!$F$11</f>
        <v>£m (2017-18 prices)</v>
      </c>
      <c r="H119" s="671"/>
      <c r="I119" s="444"/>
    </row>
    <row r="120" spans="1:9" s="201" customFormat="1" ht="13">
      <c r="A120" s="444"/>
      <c r="B120" s="444"/>
      <c r="C120" s="444"/>
      <c r="D120" s="444"/>
      <c r="E120" s="623" t="s">
        <v>1205</v>
      </c>
      <c r="F120" s="671">
        <f t="shared" si="5"/>
        <v>0</v>
      </c>
      <c r="G120" s="672" t="str">
        <f>InpCompany!$F$11</f>
        <v>£m (2017-18 prices)</v>
      </c>
      <c r="H120" s="671"/>
      <c r="I120" s="444"/>
    </row>
    <row r="121" spans="1:9" s="201" customFormat="1" ht="13">
      <c r="A121" s="444"/>
      <c r="B121" s="444"/>
      <c r="C121" s="444"/>
      <c r="D121" s="444"/>
      <c r="E121" s="623" t="s">
        <v>1206</v>
      </c>
      <c r="F121" s="671">
        <f t="shared" si="5"/>
        <v>0</v>
      </c>
      <c r="G121" s="672" t="str">
        <f>InpCompany!$F$11</f>
        <v>£m (2017-18 prices)</v>
      </c>
      <c r="H121" s="671"/>
      <c r="I121" s="444"/>
    </row>
    <row r="122" spans="1:9" s="201" customFormat="1" ht="13">
      <c r="A122" s="444"/>
      <c r="B122" s="444"/>
      <c r="C122" s="444"/>
      <c r="D122" s="444"/>
      <c r="E122" s="623" t="s">
        <v>1207</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1576</v>
      </c>
      <c r="E124" s="672"/>
      <c r="F124" s="485"/>
      <c r="G124" s="485"/>
      <c r="H124" s="623"/>
      <c r="I124" s="444"/>
    </row>
    <row r="125" spans="1:9" s="201" customFormat="1" ht="13">
      <c r="A125" s="444"/>
      <c r="B125" s="444"/>
      <c r="C125" s="444"/>
      <c r="D125" s="444"/>
      <c r="E125" s="623" t="s">
        <v>1208</v>
      </c>
      <c r="F125" s="671">
        <f>F87+F105</f>
        <v>0</v>
      </c>
      <c r="G125" s="672" t="str">
        <f>InpCompany!$F$11</f>
        <v>£m (2017-18 prices)</v>
      </c>
      <c r="H125" s="671"/>
      <c r="I125" s="444"/>
    </row>
    <row r="126" spans="1:9" s="201" customFormat="1" ht="13">
      <c r="A126" s="444"/>
      <c r="B126" s="444"/>
      <c r="C126" s="444"/>
      <c r="D126" s="444"/>
      <c r="E126" s="623" t="s">
        <v>1209</v>
      </c>
      <c r="F126" s="671">
        <f t="shared" ref="F126:F131" si="6">F88+F106</f>
        <v>0</v>
      </c>
      <c r="G126" s="672" t="str">
        <f>InpCompany!$F$11</f>
        <v>£m (2017-18 prices)</v>
      </c>
      <c r="H126" s="671"/>
      <c r="I126" s="444"/>
    </row>
    <row r="127" spans="1:9" s="201" customFormat="1" ht="13">
      <c r="A127" s="444"/>
      <c r="B127" s="444"/>
      <c r="C127" s="444"/>
      <c r="D127" s="444"/>
      <c r="E127" s="623" t="s">
        <v>1210</v>
      </c>
      <c r="F127" s="671">
        <f t="shared" si="6"/>
        <v>0</v>
      </c>
      <c r="G127" s="672" t="str">
        <f>InpCompany!$F$11</f>
        <v>£m (2017-18 prices)</v>
      </c>
      <c r="H127" s="671"/>
      <c r="I127" s="444"/>
    </row>
    <row r="128" spans="1:9" s="201" customFormat="1" ht="13">
      <c r="A128" s="444"/>
      <c r="B128" s="444"/>
      <c r="C128" s="444"/>
      <c r="D128" s="444"/>
      <c r="E128" s="623" t="s">
        <v>1211</v>
      </c>
      <c r="F128" s="671">
        <f t="shared" si="6"/>
        <v>0</v>
      </c>
      <c r="G128" s="672" t="str">
        <f>InpCompany!$F$11</f>
        <v>£m (2017-18 prices)</v>
      </c>
      <c r="H128" s="671"/>
      <c r="I128" s="444"/>
    </row>
    <row r="129" spans="1:12" s="201" customFormat="1" ht="13">
      <c r="A129" s="444"/>
      <c r="B129" s="444"/>
      <c r="C129" s="444"/>
      <c r="D129" s="444"/>
      <c r="E129" s="623" t="s">
        <v>1212</v>
      </c>
      <c r="F129" s="671">
        <f t="shared" si="6"/>
        <v>0</v>
      </c>
      <c r="G129" s="672" t="str">
        <f>InpCompany!$F$11</f>
        <v>£m (2017-18 prices)</v>
      </c>
      <c r="H129" s="671"/>
      <c r="I129" s="444"/>
    </row>
    <row r="130" spans="1:12" s="201" customFormat="1" ht="13">
      <c r="A130" s="444"/>
      <c r="B130" s="444"/>
      <c r="C130" s="444"/>
      <c r="D130" s="444"/>
      <c r="E130" s="623" t="s">
        <v>1213</v>
      </c>
      <c r="F130" s="671">
        <f t="shared" si="6"/>
        <v>0</v>
      </c>
      <c r="G130" s="672" t="str">
        <f>InpCompany!$F$11</f>
        <v>£m (2017-18 prices)</v>
      </c>
      <c r="H130" s="671"/>
      <c r="I130" s="444"/>
    </row>
    <row r="131" spans="1:12" s="201" customFormat="1" ht="13">
      <c r="A131" s="444"/>
      <c r="B131" s="444"/>
      <c r="C131" s="444"/>
      <c r="D131" s="444"/>
      <c r="E131" s="623" t="s">
        <v>1214</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M8" activePane="bottomRight" state="frozen"/>
      <selection pane="topRight" activeCell="U52" sqref="U52"/>
      <selection pane="bottomLeft" activeCell="U52" sqref="U52"/>
      <selection pane="bottomRight" activeCell="N23" sqref="N23"/>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Northumbrian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PR19NES_COM03</v>
      </c>
      <c r="K5" s="678" t="str">
        <f>IF(InpPerformance!K16&lt;&gt;"",InpPerformance!K16,"")</f>
        <v>PR19NES_COM04</v>
      </c>
      <c r="L5" s="678" t="str">
        <f>IF(InpPerformance!L16&lt;&gt;"",InpPerformance!L16,"")</f>
        <v>PR19NES_COM05</v>
      </c>
      <c r="M5" s="678" t="str">
        <f>IF(InpPerformance!M16&lt;&gt;"",InpPerformance!M16,"")</f>
        <v>PR19NES_COM06</v>
      </c>
      <c r="N5" s="678" t="str">
        <f>IF(InpPerformance!N16&lt;&gt;"",InpPerformance!N16,"")</f>
        <v>PR19NES_COM07</v>
      </c>
      <c r="O5" s="678" t="str">
        <f>IF(InpPerformance!O16&lt;&gt;"",InpPerformance!O16,"")</f>
        <v/>
      </c>
      <c r="P5" s="678" t="str">
        <f>IF(InpPerformance!P16&lt;&gt;"",InpPerformance!P16,"")</f>
        <v>PR19NES_COM12</v>
      </c>
      <c r="Q5" s="679" t="str">
        <f>IF(InpPerformance!Q16&lt;&gt;"",InpPerformance!Q16,"")</f>
        <v>PR19NES_COM13</v>
      </c>
      <c r="R5" s="678" t="str">
        <f>IF(InpPerformance!R16&lt;&gt;"",InpPerformance!R16,"")</f>
        <v>PR19NES_BES04</v>
      </c>
      <c r="S5" s="678" t="str">
        <f>IF(InpPerformance!S16&lt;&gt;"",InpPerformance!S16,"")</f>
        <v>PR19NES_BES08</v>
      </c>
      <c r="T5" s="678" t="str">
        <f>IF(InpPerformance!T16&lt;&gt;"",InpPerformance!T16,"")</f>
        <v>PR19NES_BES09</v>
      </c>
      <c r="U5" s="678" t="str">
        <f>IF(InpPerformance!U16&lt;&gt;"",InpPerformance!U16,"")</f>
        <v>PR19NES_BES11</v>
      </c>
      <c r="V5" s="678"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PR19NES_COM08</v>
      </c>
      <c r="AM5" s="678" t="str">
        <f>IF(InpPerformance!AM16&lt;&gt;"",InpPerformance!AM16,"")</f>
        <v>PR19NES_COM09</v>
      </c>
      <c r="AN5" s="678" t="str">
        <f>IF(InpPerformance!AN16&lt;&gt;"",InpPerformance!AN16,"")</f>
        <v>PR19NES_COM14</v>
      </c>
      <c r="AO5" s="679" t="str">
        <f>IF(InpPerformance!AO16&lt;&gt;"",InpPerformance!AO16,"")</f>
        <v>PR19NES_COM15</v>
      </c>
      <c r="AP5" s="678" t="str">
        <f>IF(InpPerformance!AP16&lt;&gt;"",InpPerformance!AP16,"")</f>
        <v>PR19NES_BES15</v>
      </c>
      <c r="AQ5" s="576" t="str">
        <f>IF(InpPerformance!AQ16&lt;&gt;"",InpPerformance!AQ16,"")</f>
        <v>PR19NES_BES16</v>
      </c>
      <c r="AR5" s="678" t="str">
        <f>IF(InpPerformance!AR16&lt;&gt;"",InpPerformance!AR16,"")</f>
        <v>PR19NES_BES17</v>
      </c>
      <c r="AS5" s="576" t="str">
        <f>IF(InpPerformance!AS16&lt;&gt;"",InpPerformance!AS16,"")</f>
        <v>PR19NES_BES19</v>
      </c>
      <c r="AT5" s="576" t="str">
        <f>IF(InpPerformance!AT16&lt;&gt;"",InpPerformance!AT16,"")</f>
        <v>PR19NES_BES27</v>
      </c>
      <c r="AU5" s="678" t="str">
        <f>IF(InpPerformance!AU16&lt;&gt;"",InpPerformance!AU16,"")</f>
        <v>PR19NES_BES31</v>
      </c>
      <c r="AV5" s="678" t="str">
        <f>IF(InpPerformance!AV16&lt;&gt;"",InpPerformance!AV16,"")</f>
        <v>PR19NES_BES29</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NW region</v>
      </c>
      <c r="M7" s="678" t="str">
        <f>IF(InpPerformance!M17&lt;&gt;"",InpPerformance!M17,"")</f>
        <v>Leakage ESW region</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Visible leak repair time</v>
      </c>
      <c r="S7" s="678" t="str">
        <f>IF(InpPerformance!S17&lt;&gt;"",InpPerformance!S17,"")</f>
        <v xml:space="preserve">Voids </v>
      </c>
      <c r="T7" s="678" t="str">
        <f>IF(InpPerformance!T17&lt;&gt;"",InpPerformance!T17,"")</f>
        <v>Interruptions to supply greater than 12 hours</v>
      </c>
      <c r="U7" s="678" t="str">
        <f>IF(InpPerformance!U17&lt;&gt;"",InpPerformance!U17,"")</f>
        <v>Discoloured water contacts</v>
      </c>
      <c r="V7" s="678" t="str">
        <f>IF(InpPerformance!V17&lt;&gt;"",InpPerformance!V17,"")</f>
        <v>Taste and smell contacts</v>
      </c>
      <c r="W7" s="576" t="str">
        <f>IF(InpPerformance!W17&lt;&gt;"",InpPerformance!W17,"")</f>
        <v xml:space="preserve">Event Risk Index  </v>
      </c>
      <c r="X7" s="576" t="str">
        <f>IF(InpPerformance!X17&lt;&gt;"",InpPerformance!X17,"")</f>
        <v xml:space="preserve">Interruptions to supply between one and three hours </v>
      </c>
      <c r="Y7" s="576" t="str">
        <f>IF(InpPerformance!Y17&lt;&gt;"",InpPerformance!Y17,"")</f>
        <v>Abstraction incentive mechanism (AIM)</v>
      </c>
      <c r="Z7" s="576" t="str">
        <f>IF(InpPerformance!Z17&lt;&gt;"",InpPerformance!Z17,"")</f>
        <v>Water environment improvements</v>
      </c>
      <c r="AA7" s="576" t="str">
        <f>IF(InpPerformance!AA17&lt;&gt;"",InpPerformance!AA17,"")</f>
        <v>Greenhouse Gas Emissions</v>
      </c>
      <c r="AB7" s="576" t="str">
        <f>IF(InpPerformance!AB17&lt;&gt;"",InpPerformance!AB17,"")</f>
        <v>Delivery of water resilience enhanced programme</v>
      </c>
      <c r="AC7" s="576" t="str">
        <f>IF(InpPerformance!AC17&lt;&gt;"",InpPerformance!AC17,"")</f>
        <v>Delivery of lead enhancement programme</v>
      </c>
      <c r="AD7" s="576" t="str">
        <f>IF(InpPerformance!AD17&lt;&gt;"",InpPerformance!AD17,"")</f>
        <v>Delivery of smart water metering enhancement programme</v>
      </c>
      <c r="AE7" s="576" t="str">
        <f>IF(InpPerformance!AE17&lt;&gt;"",InpPerformance!AE17,"")</f>
        <v>Delivery of cyber resilience enhancement programme</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Sewer blockages</v>
      </c>
      <c r="AQ7" s="576" t="str">
        <f>IF(InpPerformance!AQ17&lt;&gt;"",InpPerformance!AQ17,"")</f>
        <v>External sewer flooding</v>
      </c>
      <c r="AR7" s="678" t="str">
        <f>IF(InpPerformance!AR17&lt;&gt;"",InpPerformance!AR17,"")</f>
        <v xml:space="preserve">Repeat sewer flooding </v>
      </c>
      <c r="AS7" s="576" t="str">
        <f>IF(InpPerformance!AS17&lt;&gt;"",InpPerformance!AS17,"")</f>
        <v xml:space="preserve">Bathing water compliance </v>
      </c>
      <c r="AT7" s="576" t="str">
        <f>IF(InpPerformance!AT17&lt;&gt;"",InpPerformance!AT17,"")</f>
        <v>Delivery wastewater resilience enhancement programme</v>
      </c>
      <c r="AU7" s="678" t="str">
        <f>IF(InpPerformance!AU17&lt;&gt;"",InpPerformance!AU17,"")</f>
        <v>Water Industry National Environment Programme</v>
      </c>
      <c r="AV7" s="678" t="str">
        <f>IF(InpPerformance!AV17&lt;&gt;"",InpPerformance!AV17,"")</f>
        <v>Delivery of Howdon STW enhancement</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5">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v>
      </c>
      <c r="L9" s="1954">
        <f>IF(Performance!L174=0,0,Performance!L174)</f>
        <v>1.4999999999999999E-2</v>
      </c>
      <c r="M9" s="1954">
        <f>IF(Performance!M174=0,0,Performance!M174)</f>
        <v>0.21559999999999999</v>
      </c>
      <c r="N9" s="683">
        <f>IF(Performance!N174=0,0,Performance!N174)</f>
        <v>0</v>
      </c>
      <c r="O9" s="1954">
        <f>IF(Performance!O174=0,0,Performance!O174)</f>
        <v>0</v>
      </c>
      <c r="P9" s="1954">
        <f>IF(Performance!P174=0,0,Performance!P174)</f>
        <v>0</v>
      </c>
      <c r="Q9" s="1976">
        <f>IF(Performance!Q174=0,0,Performance!Q174)</f>
        <v>0</v>
      </c>
      <c r="R9" s="1954">
        <f>IF(Performance!R174=0,0,Performance!R174)</f>
        <v>0</v>
      </c>
      <c r="S9" s="1954">
        <f>IF(Performance!S174=0,0,Performance!S174)</f>
        <v>1.3325</v>
      </c>
      <c r="T9" s="1954">
        <f>IF(Performance!T174=0,0,Performance!T174)</f>
        <v>0.91025</v>
      </c>
      <c r="U9" s="1954">
        <f>IF(Performance!U174=0,0,Performance!U174)</f>
        <v>0.69362000000000079</v>
      </c>
      <c r="V9" s="1954">
        <f>IF(Performance!V174=0,0,Performance!V174)</f>
        <v>0.26340000000000002</v>
      </c>
      <c r="W9" s="1954">
        <f>IF(Performance!W174=0,0,Performance!W174)</f>
        <v>0</v>
      </c>
      <c r="X9" s="1954">
        <f>IF(Performance!X174=0,0,Performance!X174)</f>
        <v>0</v>
      </c>
      <c r="Y9" s="1954">
        <f>IF(Performance!Y174=0,0,Performance!Y174)</f>
        <v>0</v>
      </c>
      <c r="Z9" s="1954">
        <f>IF(Performance!Z174=0,0,Performance!Z174)</f>
        <v>0.36864000000000002</v>
      </c>
      <c r="AA9" s="1954">
        <f>IF(Performance!AA174=0,0,Performance!AA174)</f>
        <v>1.4372819999999999</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0.52982999999999991</v>
      </c>
      <c r="AM9" s="1954">
        <f>IF(Performance!AM174=0,0,Performance!AM174)</f>
        <v>2.6909999999999955E-2</v>
      </c>
      <c r="AN9" s="1954">
        <f>IF(Performance!AN174=0,0,Performance!AN174)</f>
        <v>0</v>
      </c>
      <c r="AO9" s="1976">
        <f>IF(Performance!AO174=0,0,Performance!AO174)</f>
        <v>0</v>
      </c>
      <c r="AP9" s="1954">
        <f>IF(Performance!AP174=0,0,Performance!AP174)</f>
        <v>0.35099999999999998</v>
      </c>
      <c r="AQ9" s="1954">
        <f>IF(Performance!AQ174=0,0,Performance!AQ174)</f>
        <v>1.7239999999999998E-2</v>
      </c>
      <c r="AR9" s="1954">
        <f>IF(Performance!AR174=0,0,Performance!AR174)</f>
        <v>0.66120000000000001</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353"/>
      <c r="B10" s="1353"/>
      <c r="C10" s="1353"/>
      <c r="D10" s="1353"/>
      <c r="E10" s="578" t="str">
        <f>Performance!E179</f>
        <v>Total underperformance payments</v>
      </c>
      <c r="F10" s="1353"/>
      <c r="G10" s="578" t="str">
        <f>Performance!G179</f>
        <v>£m (2017-18 prices)</v>
      </c>
      <c r="H10" s="1353"/>
      <c r="I10" s="1353"/>
      <c r="J10" s="1954">
        <f>IF(Performance!J179=0,0,Performance!J179)</f>
        <v>-1.9655400000000001</v>
      </c>
      <c r="K10" s="1954">
        <f>IF(Performance!K179=0,0,Performance!K179)</f>
        <v>-1.1993333333333325</v>
      </c>
      <c r="L10" s="1954">
        <f>IF(Performance!L179=0,0,Performance!L179)</f>
        <v>0</v>
      </c>
      <c r="M10" s="1954">
        <f>IF(Performance!M179=0,0,Performance!M179)</f>
        <v>0</v>
      </c>
      <c r="N10" s="683">
        <f>IF(Performance!N179=0,0,Performance!N179)</f>
        <v>-1.9602000000000002</v>
      </c>
      <c r="O10" s="1954">
        <f>IF(Performance!O179=0,0,Performance!O179)</f>
        <v>0</v>
      </c>
      <c r="P10" s="1954">
        <f>IF(Performance!P179=0,0,Performance!P179)</f>
        <v>0</v>
      </c>
      <c r="Q10" s="1976">
        <f>IF(Performance!Q179=0,0,Performance!Q179)</f>
        <v>0</v>
      </c>
      <c r="R10" s="1954">
        <f>IF(Performance!R179=0,0,Performance!R179)</f>
        <v>-1.3696000000000002</v>
      </c>
      <c r="S10" s="1954">
        <f>IF(Performance!S179=0,0,Performance!S179)</f>
        <v>0</v>
      </c>
      <c r="T10" s="1954">
        <f>IF(Performance!T179=0,0,Performance!T179)</f>
        <v>0</v>
      </c>
      <c r="U10" s="1954">
        <f>IF(Performance!U179=0,0,Performance!U179)</f>
        <v>0</v>
      </c>
      <c r="V10" s="1954">
        <f>IF(Performance!V179=0,0,Performance!V179)</f>
        <v>0</v>
      </c>
      <c r="W10" s="1954">
        <f>IF(Performance!W179=0,0,Performance!W179)</f>
        <v>0</v>
      </c>
      <c r="X10" s="1954">
        <f>IF(Performance!X179=0,0,Performance!X179)</f>
        <v>-0.39400000000000002</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v>
      </c>
      <c r="AN10" s="1954">
        <f>IF(Performance!AN179=0,0,Performance!AN179)</f>
        <v>0</v>
      </c>
      <c r="AO10" s="1976">
        <f>IF(Performance!AO179=0,0,Performance!AO179)</f>
        <v>-0.28656000000000237</v>
      </c>
      <c r="AP10" s="1954">
        <f>IF(Performance!AP179=0,0,Performance!AP179)</f>
        <v>0</v>
      </c>
      <c r="AQ10" s="1954">
        <f>IF(Performance!AQ179=0,0,Performance!AQ179)</f>
        <v>0</v>
      </c>
      <c r="AR10" s="1954">
        <f>IF(Performance!AR179=0,0,Performance!AR179)</f>
        <v>0</v>
      </c>
      <c r="AS10" s="1954">
        <f>IF(Performance!AS179=0,0,Performance!AS179)</f>
        <v>-0.73704000000000203</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353"/>
      <c r="B12" s="1353"/>
      <c r="C12" s="1353"/>
      <c r="D12" s="1353"/>
      <c r="E12" s="578" t="s">
        <v>1578</v>
      </c>
      <c r="F12" s="1353"/>
      <c r="G12" s="578" t="s">
        <v>1030</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YES</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353"/>
      <c r="B13" s="1353"/>
      <c r="C13" s="1353"/>
      <c r="D13" s="1353"/>
      <c r="E13" s="578" t="s">
        <v>1579</v>
      </c>
      <c r="F13" s="1353"/>
      <c r="G13" s="578" t="s">
        <v>1030</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YES</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353"/>
      <c r="B14" s="1353"/>
      <c r="C14" s="1353"/>
      <c r="D14" s="1353"/>
      <c r="E14" s="578" t="s">
        <v>1580</v>
      </c>
      <c r="F14" s="1353"/>
      <c r="G14" s="578" t="s">
        <v>1030</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353"/>
      <c r="B16" s="1353"/>
      <c r="C16" s="1353"/>
      <c r="D16" s="1353"/>
      <c r="E16" s="578" t="str">
        <f>Performance!E185</f>
        <v>Total in-period outperformance revenue payments to be applied this year i.e. 2023-24</v>
      </c>
      <c r="F16" s="1353"/>
      <c r="G16" s="578" t="str">
        <f>Performance!G185</f>
        <v>£m (2017-18 prices)</v>
      </c>
      <c r="H16" s="1353"/>
      <c r="I16" s="1353"/>
      <c r="J16" s="686">
        <f>Performance!J185</f>
        <v>0</v>
      </c>
      <c r="K16" s="686">
        <f>Performance!K185</f>
        <v>0</v>
      </c>
      <c r="L16" s="686">
        <f>Performance!L185</f>
        <v>1.4999999999999999E-2</v>
      </c>
      <c r="M16" s="686">
        <f>Performance!M185</f>
        <v>0.21559999999999999</v>
      </c>
      <c r="N16" s="686">
        <f>Performance!N185</f>
        <v>0</v>
      </c>
      <c r="O16" s="686">
        <f>Performance!O185</f>
        <v>0</v>
      </c>
      <c r="P16" s="686">
        <f>Performance!P185</f>
        <v>0</v>
      </c>
      <c r="Q16" s="687">
        <f>Performance!Q185</f>
        <v>0</v>
      </c>
      <c r="R16" s="686">
        <f>Performance!R185</f>
        <v>0</v>
      </c>
      <c r="S16" s="686">
        <f>Performance!S185</f>
        <v>1.3325</v>
      </c>
      <c r="T16" s="686">
        <f>Performance!T185</f>
        <v>0.91025</v>
      </c>
      <c r="U16" s="686">
        <f>Performance!U185</f>
        <v>0.69362000000000079</v>
      </c>
      <c r="V16" s="686">
        <f>Performance!V185</f>
        <v>0.26340000000000002</v>
      </c>
      <c r="W16" s="567">
        <f>Performance!W185</f>
        <v>0</v>
      </c>
      <c r="X16" s="567">
        <f>Performance!X185</f>
        <v>0</v>
      </c>
      <c r="Y16" s="567">
        <f>Performance!Y185</f>
        <v>0</v>
      </c>
      <c r="Z16" s="567">
        <f>Performance!Z185</f>
        <v>0.36864000000000002</v>
      </c>
      <c r="AA16" s="567">
        <f>Performance!AA185</f>
        <v>1.4372819999999999</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0.52982999999999991</v>
      </c>
      <c r="AM16" s="686">
        <f>Performance!AM185</f>
        <v>2.6909999999999955E-2</v>
      </c>
      <c r="AN16" s="686">
        <f>Performance!AN185</f>
        <v>0</v>
      </c>
      <c r="AO16" s="687">
        <f>Performance!AO185</f>
        <v>0</v>
      </c>
      <c r="AP16" s="686">
        <f>Performance!AP185</f>
        <v>0.35099999999999998</v>
      </c>
      <c r="AQ16" s="567">
        <f>Performance!AQ185</f>
        <v>1.7239999999999998E-2</v>
      </c>
      <c r="AR16" s="686">
        <f>Performance!AR185</f>
        <v>0.66120000000000001</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353"/>
      <c r="B17" s="1353"/>
      <c r="C17" s="1353"/>
      <c r="D17" s="1353"/>
      <c r="E17" s="578" t="str">
        <f>Performance!E186</f>
        <v>Total in-period underperformance revenue payments to be applied this year i.e. 2023-24</v>
      </c>
      <c r="F17" s="1353"/>
      <c r="G17" s="578" t="str">
        <f>Performance!G186</f>
        <v>£m (2017-18 prices)</v>
      </c>
      <c r="H17" s="1353"/>
      <c r="I17" s="1353"/>
      <c r="J17" s="686">
        <f>Performance!J186</f>
        <v>-1.9655400000000001</v>
      </c>
      <c r="K17" s="686">
        <f>Performance!K186</f>
        <v>-1.1993333333333325</v>
      </c>
      <c r="L17" s="686">
        <f>Performance!L186</f>
        <v>0</v>
      </c>
      <c r="M17" s="686">
        <f>Performance!M186</f>
        <v>0</v>
      </c>
      <c r="N17" s="686">
        <f>Performance!N186</f>
        <v>0</v>
      </c>
      <c r="O17" s="686">
        <f>Performance!O186</f>
        <v>0</v>
      </c>
      <c r="P17" s="686">
        <f>Performance!P186</f>
        <v>0</v>
      </c>
      <c r="Q17" s="687">
        <f>Performance!Q186</f>
        <v>0</v>
      </c>
      <c r="R17" s="686">
        <f>Performance!R186</f>
        <v>-1.3696000000000002</v>
      </c>
      <c r="S17" s="686">
        <f>Performance!S186</f>
        <v>0</v>
      </c>
      <c r="T17" s="686">
        <f>Performance!T186</f>
        <v>0</v>
      </c>
      <c r="U17" s="686">
        <f>Performance!U186</f>
        <v>0</v>
      </c>
      <c r="V17" s="686">
        <f>Performance!V186</f>
        <v>0</v>
      </c>
      <c r="W17" s="567">
        <f>Performance!W186</f>
        <v>0</v>
      </c>
      <c r="X17" s="567">
        <f>Performance!X186</f>
        <v>-0.39400000000000002</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-0.28656000000000237</v>
      </c>
      <c r="AP17" s="686">
        <f>Performance!AP186</f>
        <v>0</v>
      </c>
      <c r="AQ17" s="567">
        <f>Performance!AQ186</f>
        <v>0</v>
      </c>
      <c r="AR17" s="686">
        <f>Performance!AR186</f>
        <v>0</v>
      </c>
      <c r="AS17" s="567">
        <f>Performance!AS186</f>
        <v>-0.73704000000000203</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5">
      <c r="A19" s="1353"/>
      <c r="B19" s="1353"/>
      <c r="C19" s="1353"/>
      <c r="D19" s="1353"/>
      <c r="E19" s="578" t="str">
        <f>"Total outperformance RCV payments calculated this year"&amp;" i.e. "&amp;'Validation summary'!$B$2</f>
        <v>Total outperformance RCV payments calculated this year i.e. 2023-24</v>
      </c>
      <c r="F19" s="1367"/>
      <c r="G19" s="578" t="s">
        <v>700</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5">
      <c r="A20" s="1353"/>
      <c r="B20" s="1353"/>
      <c r="C20" s="1353"/>
      <c r="D20" s="1353"/>
      <c r="E20" s="578" t="str">
        <f>"Total underperformance RCV payments calculated this year"&amp;" i.e. "&amp;'Validation summary'!$B$2</f>
        <v>Total underperformance RCV payments calculated this year i.e. 2023-24</v>
      </c>
      <c r="F20" s="1367"/>
      <c r="G20" s="578" t="s">
        <v>700</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5">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353"/>
      <c r="B22" s="1353"/>
      <c r="C22" s="1353"/>
      <c r="D22" s="1353"/>
      <c r="E22" s="578" t="s">
        <v>1581</v>
      </c>
      <c r="F22" s="1367"/>
      <c r="G22" s="578" t="s">
        <v>700</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5">
      <c r="A23" s="1353"/>
      <c r="B23" s="1353"/>
      <c r="C23" s="1353"/>
      <c r="D23" s="1353"/>
      <c r="E23" s="578" t="s">
        <v>1582</v>
      </c>
      <c r="F23" s="1367"/>
      <c r="G23" s="578" t="s">
        <v>700</v>
      </c>
      <c r="H23" s="1367"/>
      <c r="I23" s="1367"/>
      <c r="J23" s="1954">
        <f>IF(AND(J$26="End of period",J$25="Revenue"),J10,0)</f>
        <v>0</v>
      </c>
      <c r="K23" s="1954">
        <f t="shared" ref="K23:BV23" si="260">IF(AND(K$26="End of period",K$25="Revenue"),K10,0)</f>
        <v>0</v>
      </c>
      <c r="L23" s="1954">
        <f t="shared" si="260"/>
        <v>0</v>
      </c>
      <c r="M23" s="1954">
        <f t="shared" si="260"/>
        <v>0</v>
      </c>
      <c r="N23" s="1954">
        <f t="shared" si="260"/>
        <v>-1.9602000000000002</v>
      </c>
      <c r="O23" s="1954">
        <f t="shared" si="260"/>
        <v>0</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5">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5">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Revenue</v>
      </c>
      <c r="AD25" s="646" t="str">
        <f>Performance!AD190</f>
        <v>Revenue</v>
      </c>
      <c r="AE25" s="646" t="str">
        <f>Performance!AE190</f>
        <v>Revenue</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Revenue</v>
      </c>
      <c r="AM25" s="646" t="str">
        <f>Performance!AM190</f>
        <v>Revenue</v>
      </c>
      <c r="AN25" s="646" t="str">
        <f>Performance!AN190</f>
        <v>Revenue</v>
      </c>
      <c r="AO25" s="2131"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In-period</v>
      </c>
      <c r="AB26" s="646" t="str">
        <f>Performance!AB182</f>
        <v>End of period</v>
      </c>
      <c r="AC26" s="646" t="str">
        <f>Performance!AC182</f>
        <v>End of period</v>
      </c>
      <c r="AD26" s="646" t="str">
        <f>Performance!AD182</f>
        <v>End of period</v>
      </c>
      <c r="AE26" s="646" t="str">
        <f>Performance!AE182</f>
        <v>In-period</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In-period</v>
      </c>
      <c r="AM26" s="646" t="str">
        <f>Performance!AM182</f>
        <v>In-period</v>
      </c>
      <c r="AN26" s="646" t="str">
        <f>Performance!AN182</f>
        <v>In-period</v>
      </c>
      <c r="AO26" s="2131" t="str">
        <f>Performance!AO182</f>
        <v>In-period</v>
      </c>
      <c r="AP26" s="646" t="str">
        <f>Performance!AP182</f>
        <v>In-period</v>
      </c>
      <c r="AQ26" s="646" t="str">
        <f>Performance!AQ182</f>
        <v>In-period</v>
      </c>
      <c r="AR26" s="646" t="str">
        <f>Performance!AR182</f>
        <v>In-period</v>
      </c>
      <c r="AS26" s="646" t="str">
        <f>Performance!AS182</f>
        <v>In-period</v>
      </c>
      <c r="AT26" s="646" t="str">
        <f>Performance!AT182</f>
        <v>End of period</v>
      </c>
      <c r="AU26" s="646" t="str">
        <f>Performance!AU182</f>
        <v>In-period</v>
      </c>
      <c r="AV26" s="646" t="str">
        <f>Performance!AV182</f>
        <v>End of period</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2" sqref="C2"/>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848" t="s">
        <v>958</v>
      </c>
      <c r="C2" s="397" t="s">
        <v>105</v>
      </c>
    </row>
    <row r="3" spans="2:6" ht="22.5" thickBot="1">
      <c r="B3" s="1848" t="s">
        <v>989</v>
      </c>
      <c r="C3" s="397" t="s">
        <v>107</v>
      </c>
      <c r="D3" s="8"/>
      <c r="E3" s="8"/>
      <c r="F3" s="1353" t="str">
        <f>VLOOKUP($B$3,Validation!$B$5:$D$22,3,0)</f>
        <v>WaSC</v>
      </c>
    </row>
    <row r="4" spans="2:6"/>
    <row r="5" spans="2:6" ht="14.5">
      <c r="B5" s="1353" t="s">
        <v>108</v>
      </c>
    </row>
    <row r="6" spans="2:6"/>
    <row r="7" spans="2:6" ht="26">
      <c r="B7" s="1533" t="s">
        <v>109</v>
      </c>
      <c r="C7" s="1534" t="s">
        <v>110</v>
      </c>
      <c r="D7" s="1535" t="s">
        <v>111</v>
      </c>
      <c r="E7" s="1535" t="s">
        <v>112</v>
      </c>
    </row>
    <row r="8" spans="2:6" ht="25.15" customHeight="1">
      <c r="B8" s="332" t="s">
        <v>113</v>
      </c>
      <c r="C8" s="333" t="str">
        <f>IF($B$3="Select company","",IF(SUM('3A'!$V$9:$Z$16,'3A'!$V$19:$Z$38)&gt;0,"Review validation checks","No issues identified"))</f>
        <v>Review validation checks</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No issues identified</v>
      </c>
      <c r="E9" s="1354" t="str">
        <f>'3B'!B$42</f>
        <v>Please refer to RAG 4.11 - Guideline for the table definitions in the annual performance report</v>
      </c>
    </row>
    <row r="10" spans="2:6" ht="25.15" customHeight="1">
      <c r="B10" s="2070" t="s">
        <v>115</v>
      </c>
      <c r="C10" s="2069" t="s">
        <v>116</v>
      </c>
      <c r="D10" s="2069" t="s">
        <v>116</v>
      </c>
      <c r="E10" s="2062"/>
    </row>
    <row r="11" spans="2:6" ht="25.15" customHeight="1">
      <c r="B11" s="2070" t="s">
        <v>117</v>
      </c>
      <c r="C11" s="2069" t="s">
        <v>116</v>
      </c>
      <c r="D11" s="2069" t="s">
        <v>116</v>
      </c>
      <c r="E11" s="2062"/>
    </row>
    <row r="12" spans="2:6" ht="25.1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15"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15" customHeight="1">
      <c r="B16" s="2070" t="s">
        <v>122</v>
      </c>
      <c r="C16" s="2069" t="s">
        <v>116</v>
      </c>
      <c r="D16" s="2069" t="s">
        <v>116</v>
      </c>
      <c r="E16" s="2112"/>
    </row>
    <row r="17" spans="2:5" ht="25.15"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15" customHeight="1">
      <c r="B18" s="2070" t="s">
        <v>124</v>
      </c>
      <c r="C18" s="2069" t="s">
        <v>116</v>
      </c>
      <c r="D18" s="2069" t="s">
        <v>116</v>
      </c>
      <c r="E18" s="2111"/>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Northumbrian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c r="A4" s="446"/>
      <c r="B4" s="677"/>
      <c r="C4" s="446"/>
      <c r="D4" s="446"/>
      <c r="E4" s="446"/>
      <c r="F4" s="446"/>
      <c r="G4" s="446"/>
      <c r="H4" s="446"/>
      <c r="I4" s="446"/>
      <c r="J4" s="446"/>
      <c r="K4" s="446"/>
      <c r="L4" s="171"/>
      <c r="M4" s="171"/>
      <c r="N4" s="171"/>
      <c r="O4" s="171"/>
      <c r="P4" s="171"/>
    </row>
    <row r="5" spans="1:16">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967</v>
      </c>
      <c r="B7" s="578"/>
      <c r="C7" s="444"/>
      <c r="D7" s="454"/>
      <c r="E7" s="1434" t="str" cm="1">
        <f t="array" ref="E7:E52">TRANSPOSE(Performance!J6:BC6)</f>
        <v>Water quality compliance (CRI)</v>
      </c>
      <c r="F7" s="1435" t="str" cm="1">
        <f t="array" ref="F7:F52">TRANSPOSE(Performance!J5:BC5)</f>
        <v>PR19NES_COM03</v>
      </c>
      <c r="G7" s="1435" t="str" cm="1">
        <f t="array" ref="G7:G52">TRANSPOSE(Performance!J9:BC9)</f>
        <v>number</v>
      </c>
      <c r="H7" s="575"/>
      <c r="I7" s="575"/>
      <c r="J7" s="1436" cm="1">
        <f t="array" ref="J7:J52">TRANSPOSE(Company_PC_inputs!J7:BC7)</f>
        <v>2.91</v>
      </c>
      <c r="K7" s="1436" cm="1">
        <f t="array" ref="K7:K52">TRANSPOSE(Performance!J7:BC7)</f>
        <v>2.91</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-1.9655400000000001</v>
      </c>
      <c r="P7" s="1436" cm="1">
        <f t="array" ref="P7:P52">TRANSPOSE('Model outputs - PC level'!J16:BC16)+TRANSPOSE('Model outputs - PC level'!J17:BC17)+TRANSPOSE('Model outputs - PC level'!J19:BC19)+TRANSPOSE('Model outputs - PC level'!J20:BC20)</f>
        <v>-1.9655400000000001</v>
      </c>
    </row>
    <row r="8" spans="1:16">
      <c r="A8" s="578"/>
      <c r="B8" s="578"/>
      <c r="C8" s="444"/>
      <c r="D8" s="454"/>
      <c r="E8" s="1434" t="str">
        <v>Water supply interruptions</v>
      </c>
      <c r="F8" s="1435" t="str">
        <v>PR19NES_COM04</v>
      </c>
      <c r="G8" s="1435" t="str">
        <v>hh:mm:ss</v>
      </c>
      <c r="H8" s="575"/>
      <c r="I8" s="575"/>
      <c r="J8" s="1437">
        <v>4.5486111111111109E-3</v>
      </c>
      <c r="K8" s="1437">
        <v>4.5486111111111109E-3</v>
      </c>
      <c r="L8" s="1437" t="str">
        <v/>
      </c>
      <c r="M8" s="1437" t="str">
        <v/>
      </c>
      <c r="N8" s="1437" t="str">
        <v>No</v>
      </c>
      <c r="O8" s="1436">
        <f>VLOOKUP(F8,'3A'!$C$9:$H$38,6,FALSE)</f>
        <v>-1.1993333333333325</v>
      </c>
      <c r="P8" s="1436">
        <v>-1.1993333333333325</v>
      </c>
    </row>
    <row r="9" spans="1:16">
      <c r="A9" s="578"/>
      <c r="B9" s="578"/>
      <c r="C9" s="444"/>
      <c r="D9" s="454"/>
      <c r="E9" s="1434" t="str">
        <v>Leakage NW region</v>
      </c>
      <c r="F9" s="1435" t="str">
        <v>PR19NES_COM05</v>
      </c>
      <c r="G9" s="1435" t="str">
        <v>%</v>
      </c>
      <c r="H9" s="575"/>
      <c r="I9" s="575"/>
      <c r="J9" s="1436">
        <v>9.0504451038575731</v>
      </c>
      <c r="K9" s="1436">
        <v>9.0504451038575731</v>
      </c>
      <c r="L9" s="1436" t="str">
        <v/>
      </c>
      <c r="M9" s="1436" t="str">
        <v/>
      </c>
      <c r="N9" s="1436" t="str">
        <v>No</v>
      </c>
      <c r="O9" s="1436">
        <f>VLOOKUP(F9,'3A'!$C$9:$H$38,6,FALSE)</f>
        <v>1.4999999999999999E-2</v>
      </c>
      <c r="P9" s="1436">
        <v>1.4999999999999999E-2</v>
      </c>
    </row>
    <row r="10" spans="1:16">
      <c r="A10" s="578"/>
      <c r="B10" s="578"/>
      <c r="C10" s="444"/>
      <c r="D10" s="454"/>
      <c r="E10" s="1434" t="str">
        <v>Leakage ESW region</v>
      </c>
      <c r="F10" s="1435" t="str">
        <v>PR19NES_COM06</v>
      </c>
      <c r="G10" s="1435" t="str">
        <v>%</v>
      </c>
      <c r="H10" s="575"/>
      <c r="I10" s="575"/>
      <c r="J10" s="1436">
        <v>12.576687116564422</v>
      </c>
      <c r="K10" s="1436">
        <v>12.576687116564422</v>
      </c>
      <c r="L10" s="1436" t="str">
        <v/>
      </c>
      <c r="M10" s="1436" t="str">
        <v/>
      </c>
      <c r="N10" s="1436" t="str">
        <v>No</v>
      </c>
      <c r="O10" s="1436">
        <f>VLOOKUP(F10,'3A'!$C$9:$H$38,6,FALSE)</f>
        <v>0.21559999999999999</v>
      </c>
      <c r="P10" s="1436">
        <v>0.21559999999999999</v>
      </c>
    </row>
    <row r="11" spans="1:16">
      <c r="A11" s="578"/>
      <c r="B11" s="578"/>
      <c r="C11" s="444"/>
      <c r="D11" s="454"/>
      <c r="E11" s="1434" t="str">
        <v>Per capita consumption</v>
      </c>
      <c r="F11" s="1435" t="str">
        <v>PR19NES_COM07</v>
      </c>
      <c r="G11" s="1435" t="str">
        <v xml:space="preserve">% </v>
      </c>
      <c r="H11" s="575"/>
      <c r="I11" s="575"/>
      <c r="J11" s="1436">
        <v>-2.4568393094289709</v>
      </c>
      <c r="K11" s="1436">
        <v>-2.4568393094289709</v>
      </c>
      <c r="L11" s="1436" t="str">
        <v/>
      </c>
      <c r="M11" s="1436" t="str">
        <v/>
      </c>
      <c r="N11" s="1436" t="str">
        <v>No</v>
      </c>
      <c r="O11" s="1436">
        <f>VLOOKUP(F11,'3A'!$C$9:$H$38,6,FALSE)</f>
        <v>-1.9602000000000002</v>
      </c>
      <c r="P11" s="1436">
        <v>0</v>
      </c>
    </row>
    <row r="12" spans="1:16">
      <c r="A12" s="578"/>
      <c r="B12" s="578"/>
      <c r="C12" s="444"/>
      <c r="D12" s="454"/>
      <c r="E12" s="1434" t="str">
        <v>[For use by SSC only]</v>
      </c>
      <c r="F12" s="1435" t="str">
        <v/>
      </c>
      <c r="G12" s="1435" t="str">
        <v/>
      </c>
      <c r="H12" s="575"/>
      <c r="I12" s="575"/>
      <c r="J12" s="1436" t="str">
        <v/>
      </c>
      <c r="K12" s="1436" t="str">
        <v/>
      </c>
      <c r="L12" s="1436" t="str">
        <v/>
      </c>
      <c r="M12" s="1436" t="str">
        <v/>
      </c>
      <c r="N12" s="1436" t="str">
        <v>No</v>
      </c>
      <c r="O12" s="1436" t="str">
        <f>VLOOKUP(F12,'3A'!$C$9:$H$38,6,FALSE)</f>
        <v/>
      </c>
      <c r="P12" s="1436">
        <v>0</v>
      </c>
    </row>
    <row r="13" spans="1:16">
      <c r="A13" s="578"/>
      <c r="B13" s="578"/>
      <c r="C13" s="444"/>
      <c r="D13" s="454"/>
      <c r="E13" s="1434" t="str">
        <v>Mains repairs</v>
      </c>
      <c r="F13" s="1435" t="str">
        <v>PR19NES_COM12</v>
      </c>
      <c r="G13" s="1435" t="str">
        <v>number</v>
      </c>
      <c r="H13" s="575"/>
      <c r="I13" s="575"/>
      <c r="J13" s="1436">
        <v>127.9</v>
      </c>
      <c r="K13" s="1436">
        <v>127.9</v>
      </c>
      <c r="L13" s="1436" t="str">
        <v/>
      </c>
      <c r="M13" s="1436" t="str">
        <v/>
      </c>
      <c r="N13" s="1436" t="str">
        <v>No</v>
      </c>
      <c r="O13" s="1436">
        <f>VLOOKUP(F13,'3A'!$C$9:$H$38,6,FALSE)</f>
        <v>0</v>
      </c>
      <c r="P13" s="1436">
        <v>0</v>
      </c>
    </row>
    <row r="14" spans="1:16">
      <c r="A14" s="578"/>
      <c r="B14" s="578"/>
      <c r="C14" s="444"/>
      <c r="D14" s="454"/>
      <c r="E14" s="1434" t="str">
        <v>Unplanned outage</v>
      </c>
      <c r="F14" s="1435" t="str">
        <v>PR19NES_COM13</v>
      </c>
      <c r="G14" s="1435" t="str">
        <v>%</v>
      </c>
      <c r="H14" s="575"/>
      <c r="I14" s="575"/>
      <c r="J14" s="1436">
        <v>3</v>
      </c>
      <c r="K14" s="1436">
        <v>3</v>
      </c>
      <c r="L14" s="1436" t="str">
        <v/>
      </c>
      <c r="M14" s="1436" t="str">
        <v/>
      </c>
      <c r="N14" s="1436" t="str">
        <v>No</v>
      </c>
      <c r="O14" s="1436">
        <f>VLOOKUP(F14,'3A'!$C$9:$H$38,6,FALSE)</f>
        <v>0</v>
      </c>
      <c r="P14" s="1436">
        <v>0</v>
      </c>
    </row>
    <row r="15" spans="1:16">
      <c r="A15" s="578"/>
      <c r="B15" s="578"/>
      <c r="C15" s="444"/>
      <c r="D15" s="454"/>
      <c r="E15" s="1434" t="str">
        <v>Visible leak repair time</v>
      </c>
      <c r="F15" s="1435" t="str">
        <v>PR19NES_BES04</v>
      </c>
      <c r="G15" s="1435" t="str">
        <v>nr</v>
      </c>
      <c r="H15" s="575"/>
      <c r="I15" s="575"/>
      <c r="J15" s="1438">
        <v>7.2</v>
      </c>
      <c r="K15" s="1504">
        <v>7.2</v>
      </c>
      <c r="L15" s="1438" t="str">
        <v/>
      </c>
      <c r="M15" s="1438" t="str">
        <v/>
      </c>
      <c r="N15" s="1438" t="str">
        <v>No</v>
      </c>
      <c r="O15" s="1436">
        <f>VLOOKUP(F15,'3A'!$C$9:$H$38,6,FALSE)</f>
        <v>-1.3696000000000002</v>
      </c>
      <c r="P15" s="1441">
        <v>-1.3696000000000002</v>
      </c>
    </row>
    <row r="16" spans="1:16">
      <c r="A16" s="578"/>
      <c r="B16" s="578"/>
      <c r="C16" s="444"/>
      <c r="D16" s="454"/>
      <c r="E16" s="1434" t="str">
        <v xml:space="preserve">Voids </v>
      </c>
      <c r="F16" s="1435" t="str">
        <v>PR19NES_BES08</v>
      </c>
      <c r="G16" s="1435" t="str">
        <v>%</v>
      </c>
      <c r="H16" s="575"/>
      <c r="I16" s="575"/>
      <c r="J16" s="1438">
        <v>3.5</v>
      </c>
      <c r="K16" s="1438">
        <v>3.5</v>
      </c>
      <c r="L16" s="1438" t="str">
        <v/>
      </c>
      <c r="M16" s="1438" t="str">
        <v/>
      </c>
      <c r="N16" s="1438" t="str">
        <v>No</v>
      </c>
      <c r="O16" s="1436">
        <f>VLOOKUP(F16,'3A'!$C$9:$H$38,6,FALSE)</f>
        <v>1.3325</v>
      </c>
      <c r="P16" s="1441">
        <v>1.3325</v>
      </c>
    </row>
    <row r="17" spans="1:16">
      <c r="A17" s="578"/>
      <c r="B17" s="578"/>
      <c r="C17" s="444"/>
      <c r="D17" s="454"/>
      <c r="E17" s="1434" t="str">
        <v>Interruptions to supply greater than 12 hours</v>
      </c>
      <c r="F17" s="1435" t="str">
        <v>PR19NES_BES09</v>
      </c>
      <c r="G17" s="1435" t="str">
        <v>nr</v>
      </c>
      <c r="H17" s="575"/>
      <c r="I17" s="575"/>
      <c r="J17" s="1438">
        <v>150</v>
      </c>
      <c r="K17" s="1438">
        <v>150</v>
      </c>
      <c r="L17" s="1438" t="str">
        <v/>
      </c>
      <c r="M17" s="1438" t="str">
        <v/>
      </c>
      <c r="N17" s="1438" t="str">
        <v>No</v>
      </c>
      <c r="O17" s="1436">
        <f>VLOOKUP(F17,'3A'!$C$9:$H$38,6,FALSE)</f>
        <v>0.91025</v>
      </c>
      <c r="P17" s="1441">
        <v>0.91025</v>
      </c>
    </row>
    <row r="18" spans="1:16">
      <c r="A18" s="578"/>
      <c r="B18" s="578"/>
      <c r="C18" s="444"/>
      <c r="D18" s="454"/>
      <c r="E18" s="1434" t="str">
        <v>Discoloured water contacts</v>
      </c>
      <c r="F18" s="1435" t="str">
        <v>PR19NES_BES11</v>
      </c>
      <c r="G18" s="1435" t="str">
        <v>nr</v>
      </c>
      <c r="H18" s="575"/>
      <c r="I18" s="575"/>
      <c r="J18" s="1438">
        <v>7.42</v>
      </c>
      <c r="K18" s="1438">
        <v>7.42</v>
      </c>
      <c r="L18" s="1438" t="str">
        <v/>
      </c>
      <c r="M18" s="1438" t="str">
        <v/>
      </c>
      <c r="N18" s="1438" t="str">
        <v>No</v>
      </c>
      <c r="O18" s="1436">
        <f>VLOOKUP(F18,'3A'!$C$9:$H$38,6,FALSE)</f>
        <v>0.69362000000000079</v>
      </c>
      <c r="P18" s="1441">
        <v>0.69362000000000079</v>
      </c>
    </row>
    <row r="19" spans="1:16">
      <c r="A19" s="578"/>
      <c r="B19" s="578"/>
      <c r="C19" s="444"/>
      <c r="D19" s="454"/>
      <c r="E19" s="1434" t="str">
        <v>Taste and smell contacts</v>
      </c>
      <c r="F19" s="1435" t="str">
        <v>PR19NES_BES12</v>
      </c>
      <c r="G19" s="1435" t="str">
        <v>nr</v>
      </c>
      <c r="H19" s="575"/>
      <c r="I19" s="575"/>
      <c r="J19" s="1438">
        <v>1.74</v>
      </c>
      <c r="K19" s="1438">
        <v>1.74</v>
      </c>
      <c r="L19" s="1438" t="str">
        <v/>
      </c>
      <c r="M19" s="1438" t="str">
        <v/>
      </c>
      <c r="N19" s="1438" t="str">
        <v>No</v>
      </c>
      <c r="O19" s="1436">
        <f>VLOOKUP(F19,'3A'!$C$9:$H$38,6,FALSE)</f>
        <v>0.26340000000000002</v>
      </c>
      <c r="P19" s="1441">
        <v>0.26340000000000002</v>
      </c>
    </row>
    <row r="20" spans="1:16">
      <c r="A20" s="578"/>
      <c r="B20" s="578"/>
      <c r="C20" s="444"/>
      <c r="D20" s="454"/>
      <c r="E20" s="1434" t="str">
        <v xml:space="preserve">Event Risk Index  </v>
      </c>
      <c r="F20" s="1435" t="str">
        <v>PR19NES_BES13</v>
      </c>
      <c r="G20" s="1435" t="str">
        <v>nr</v>
      </c>
      <c r="H20" s="575"/>
      <c r="I20" s="575"/>
      <c r="J20" s="1438">
        <v>14.071</v>
      </c>
      <c r="K20" s="1438">
        <v>14.071</v>
      </c>
      <c r="L20" s="1438" t="str">
        <v/>
      </c>
      <c r="M20" s="1438" t="str">
        <v/>
      </c>
      <c r="N20" s="1438" t="str">
        <v>No</v>
      </c>
      <c r="O20" s="1436">
        <f>VLOOKUP(F20,'3A'!$C$9:$H$38,6,FALSE)</f>
        <v>0</v>
      </c>
      <c r="P20" s="1441">
        <v>0</v>
      </c>
    </row>
    <row r="21" spans="1:16">
      <c r="A21" s="578"/>
      <c r="B21" s="578"/>
      <c r="C21" s="444"/>
      <c r="D21" s="454"/>
      <c r="E21" s="1434" t="str">
        <v xml:space="preserve">Interruptions to supply between one and three hours </v>
      </c>
      <c r="F21" s="1435" t="str">
        <v>PR19NES_BES14</v>
      </c>
      <c r="G21" s="1435" t="str">
        <v xml:space="preserve">% </v>
      </c>
      <c r="H21" s="575"/>
      <c r="I21" s="575"/>
      <c r="J21" s="1438">
        <v>96.6</v>
      </c>
      <c r="K21" s="1438">
        <v>96.6</v>
      </c>
      <c r="L21" s="1438" t="str">
        <v>YES</v>
      </c>
      <c r="M21" s="1438" t="str">
        <v>YES</v>
      </c>
      <c r="N21" s="1438" t="str">
        <v>No</v>
      </c>
      <c r="O21" s="1436">
        <f>VLOOKUP(F21,'3A'!$C$9:$H$38,6,FALSE)</f>
        <v>-0.39400000000000002</v>
      </c>
      <c r="P21" s="1441">
        <v>-0.39400000000000002</v>
      </c>
    </row>
    <row r="22" spans="1:16">
      <c r="A22" s="578"/>
      <c r="B22" s="578"/>
      <c r="C22" s="444"/>
      <c r="D22" s="454"/>
      <c r="E22" s="1434" t="str">
        <v>Abstraction incentive mechanism (AIM)</v>
      </c>
      <c r="F22" s="1435" t="str">
        <v>PR19NES_BES18</v>
      </c>
      <c r="G22" s="1435" t="str">
        <v>nr</v>
      </c>
      <c r="H22" s="575"/>
      <c r="I22" s="575"/>
      <c r="J22" s="1438">
        <v>0</v>
      </c>
      <c r="K22" s="1438">
        <v>0</v>
      </c>
      <c r="L22" s="1438" t="str">
        <v/>
      </c>
      <c r="M22" s="1438" t="str">
        <v/>
      </c>
      <c r="N22" s="1438" t="str">
        <v>No</v>
      </c>
      <c r="O22" s="1436">
        <f>VLOOKUP(F22,'3A'!$C$9:$H$38,6,FALSE)</f>
        <v>0</v>
      </c>
      <c r="P22" s="1441">
        <v>0</v>
      </c>
    </row>
    <row r="23" spans="1:16">
      <c r="A23" s="578"/>
      <c r="B23" s="578"/>
      <c r="C23" s="444"/>
      <c r="D23" s="454"/>
      <c r="E23" s="1434" t="str">
        <v>Water environment improvements</v>
      </c>
      <c r="F23" s="1435" t="str">
        <v>PR19NES_BES20</v>
      </c>
      <c r="G23" s="1435" t="str">
        <v>nr</v>
      </c>
      <c r="H23" s="575"/>
      <c r="I23" s="575"/>
      <c r="J23" s="1438">
        <v>58</v>
      </c>
      <c r="K23" s="1438">
        <v>58</v>
      </c>
      <c r="L23" s="1438" t="str">
        <v/>
      </c>
      <c r="M23" s="1438" t="str">
        <v/>
      </c>
      <c r="N23" s="1438" t="str">
        <v>No</v>
      </c>
      <c r="O23" s="1436">
        <f>VLOOKUP(F23,'3A'!$C$9:$H$38,6,FALSE)</f>
        <v>0.36864000000000002</v>
      </c>
      <c r="P23" s="1441">
        <v>0.36864000000000002</v>
      </c>
    </row>
    <row r="24" spans="1:16">
      <c r="A24" s="578"/>
      <c r="B24" s="578"/>
      <c r="C24" s="444"/>
      <c r="D24" s="454"/>
      <c r="E24" s="1434" t="str">
        <v>Greenhouse Gas Emissions</v>
      </c>
      <c r="F24" s="1435" t="str">
        <v>PR19NES_BES21</v>
      </c>
      <c r="G24" s="1435" t="str">
        <v>tCO2e</v>
      </c>
      <c r="H24" s="575"/>
      <c r="I24" s="575"/>
      <c r="J24" s="1438">
        <v>15627</v>
      </c>
      <c r="K24" s="1438">
        <v>15627</v>
      </c>
      <c r="L24" s="1438" t="str">
        <v/>
      </c>
      <c r="M24" s="1438" t="str">
        <v/>
      </c>
      <c r="N24" s="1438" t="str">
        <v>No</v>
      </c>
      <c r="O24" s="1436">
        <f>VLOOKUP(F24,'3A'!$C$9:$H$38,6,FALSE)</f>
        <v>1.4372819999999999</v>
      </c>
      <c r="P24" s="1441">
        <v>1.4372819999999999</v>
      </c>
    </row>
    <row r="25" spans="1:16">
      <c r="A25" s="578"/>
      <c r="B25" s="578"/>
      <c r="C25" s="444"/>
      <c r="D25" s="454"/>
      <c r="E25" s="1434" t="str">
        <v>Delivery of water resilience enhanced programme</v>
      </c>
      <c r="F25" s="1435" t="str">
        <v>PR19NES_BES24</v>
      </c>
      <c r="G25" s="1435" t="str">
        <v>%</v>
      </c>
      <c r="H25" s="575"/>
      <c r="I25" s="575"/>
      <c r="J25" s="1438">
        <v>59.3</v>
      </c>
      <c r="K25" s="1438">
        <v>59.3</v>
      </c>
      <c r="L25" s="1438" t="str">
        <v/>
      </c>
      <c r="M25" s="1438" t="str">
        <v/>
      </c>
      <c r="N25" s="1438" t="str">
        <v>No</v>
      </c>
      <c r="O25" s="1436">
        <f>VLOOKUP(F25,'3A'!$C$9:$H$38,6,FALSE)</f>
        <v>0</v>
      </c>
      <c r="P25" s="1441">
        <v>0</v>
      </c>
    </row>
    <row r="26" spans="1:16">
      <c r="A26" s="578"/>
      <c r="B26" s="578"/>
      <c r="C26" s="444"/>
      <c r="D26" s="454"/>
      <c r="E26" s="1434" t="str">
        <v>Delivery of lead enhancement programme</v>
      </c>
      <c r="F26" s="1435" t="str">
        <v>PR19NES_BES25</v>
      </c>
      <c r="G26" s="1435" t="str">
        <v>%</v>
      </c>
      <c r="H26" s="575"/>
      <c r="I26" s="575"/>
      <c r="J26" s="1438">
        <v>59.9</v>
      </c>
      <c r="K26" s="1438">
        <v>59.9</v>
      </c>
      <c r="L26" s="1438" t="str">
        <v/>
      </c>
      <c r="M26" s="1438" t="str">
        <v/>
      </c>
      <c r="N26" s="1438" t="str">
        <v>No</v>
      </c>
      <c r="O26" s="1436">
        <f>VLOOKUP(F26,'3A'!$C$9:$H$38,6,FALSE)</f>
        <v>0</v>
      </c>
      <c r="P26" s="1441">
        <v>0</v>
      </c>
    </row>
    <row r="27" spans="1:16" ht="14.5">
      <c r="A27" s="1367"/>
      <c r="B27" s="1367"/>
      <c r="C27" s="1367"/>
      <c r="D27" s="1367"/>
      <c r="E27" s="1509" t="str">
        <v>Delivery of smart water metering enhancement programme</v>
      </c>
      <c r="F27" s="1509" t="str">
        <v>PR19NES_BES26</v>
      </c>
      <c r="G27" s="1509" t="str">
        <v>%</v>
      </c>
      <c r="H27" s="446"/>
      <c r="I27" s="446"/>
      <c r="J27" s="1439">
        <v>47.4</v>
      </c>
      <c r="K27" s="1439">
        <v>47.4</v>
      </c>
      <c r="L27" s="1439" t="str">
        <v/>
      </c>
      <c r="M27" s="1439" t="str">
        <v/>
      </c>
      <c r="N27" s="1439" t="str">
        <v>No</v>
      </c>
      <c r="O27" s="1436">
        <f>VLOOKUP(F27,'3A'!$C$9:$H$38,6,FALSE)</f>
        <v>0</v>
      </c>
      <c r="P27" s="1442">
        <v>0</v>
      </c>
    </row>
    <row r="28" spans="1:16" ht="14.5">
      <c r="A28" s="1367"/>
      <c r="B28" s="1367"/>
      <c r="C28" s="1367"/>
      <c r="D28" s="1367"/>
      <c r="E28" s="1509" t="str">
        <v>Delivery of cyber resilience enhancement programme</v>
      </c>
      <c r="F28" s="1509" t="str">
        <v>PR19NES_BES28</v>
      </c>
      <c r="G28" s="1509" t="str">
        <v>%</v>
      </c>
      <c r="H28" s="446"/>
      <c r="I28" s="446"/>
      <c r="J28" s="1439">
        <v>73.400000000000006</v>
      </c>
      <c r="K28" s="1439">
        <v>73.400000000000006</v>
      </c>
      <c r="L28" s="1439" t="str">
        <v/>
      </c>
      <c r="M28" s="1439" t="str">
        <v/>
      </c>
      <c r="N28" s="1439" t="str">
        <v>No</v>
      </c>
      <c r="O28" s="1436">
        <f>VLOOKUP(F28,'3A'!$C$9:$H$38,6,FALSE)</f>
        <v>0</v>
      </c>
      <c r="P28" s="1442">
        <v>0</v>
      </c>
    </row>
    <row r="29" spans="1:16" ht="14.5">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5">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5">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5">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5">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5">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5">
      <c r="A35" s="668" t="s">
        <v>979</v>
      </c>
      <c r="B35" s="1367"/>
      <c r="C35" s="1367"/>
      <c r="D35" s="1367"/>
      <c r="E35" s="1509" t="str">
        <v>Internal sewer flooding</v>
      </c>
      <c r="F35" s="1509" t="str">
        <v>PR19NES_COM08</v>
      </c>
      <c r="G35" s="1509" t="str">
        <v>number</v>
      </c>
      <c r="H35" s="446"/>
      <c r="I35" s="446"/>
      <c r="J35" s="1439">
        <v>1.23</v>
      </c>
      <c r="K35" s="1439">
        <v>1.23</v>
      </c>
      <c r="L35" s="1439" t="str">
        <v/>
      </c>
      <c r="M35" s="1439" t="str">
        <v/>
      </c>
      <c r="N35" s="1439" t="str">
        <v>No</v>
      </c>
      <c r="O35" s="1436">
        <f>VLOOKUP(F35,'3B'!$C$9:$H$38,6,FALSE)</f>
        <v>0.52982999999999991</v>
      </c>
      <c r="P35" s="1442">
        <v>0.52982999999999991</v>
      </c>
    </row>
    <row r="36" spans="1:16" ht="14.5">
      <c r="A36" s="1367"/>
      <c r="B36" s="1367"/>
      <c r="C36" s="1367"/>
      <c r="D36" s="1367"/>
      <c r="E36" s="1509" t="str">
        <v>Pollution incidents</v>
      </c>
      <c r="F36" s="1509" t="str">
        <v>PR19NES_COM09</v>
      </c>
      <c r="G36" s="1509" t="str">
        <v>number</v>
      </c>
      <c r="H36" s="446"/>
      <c r="I36" s="446"/>
      <c r="J36" s="1439">
        <v>22.31</v>
      </c>
      <c r="K36" s="1439">
        <v>22.31</v>
      </c>
      <c r="L36" s="1439" t="str">
        <v/>
      </c>
      <c r="M36" s="1439" t="str">
        <v/>
      </c>
      <c r="N36" s="1439" t="str">
        <v>No</v>
      </c>
      <c r="O36" s="1436">
        <f>VLOOKUP(F36,'3B'!$C$9:$H$38,6,FALSE)</f>
        <v>2.6909999999999955E-2</v>
      </c>
      <c r="P36" s="1442">
        <v>2.6909999999999955E-2</v>
      </c>
    </row>
    <row r="37" spans="1:16" ht="14.5">
      <c r="A37" s="1367"/>
      <c r="B37" s="1367"/>
      <c r="C37" s="1367"/>
      <c r="D37" s="1367"/>
      <c r="E37" s="1509" t="str">
        <v>Sewer collapses</v>
      </c>
      <c r="F37" s="1509" t="str">
        <v>PR19NES_COM14</v>
      </c>
      <c r="G37" s="1509" t="str">
        <v>number</v>
      </c>
      <c r="H37" s="446"/>
      <c r="I37" s="446"/>
      <c r="J37" s="1439">
        <v>8.7899999999999991</v>
      </c>
      <c r="K37" s="1439">
        <v>8.7899999999999991</v>
      </c>
      <c r="L37" s="1439" t="str">
        <v/>
      </c>
      <c r="M37" s="1439" t="str">
        <v/>
      </c>
      <c r="N37" s="1439" t="str">
        <v>No</v>
      </c>
      <c r="O37" s="1436">
        <f>VLOOKUP(F37,'3B'!$C$9:$H$38,6,FALSE)</f>
        <v>0</v>
      </c>
      <c r="P37" s="1442">
        <v>0</v>
      </c>
    </row>
    <row r="38" spans="1:16" ht="14.5">
      <c r="A38" s="1367"/>
      <c r="B38" s="1367"/>
      <c r="C38" s="1367"/>
      <c r="D38" s="1367"/>
      <c r="E38" s="1509" t="str">
        <v>Treatment works compliance</v>
      </c>
      <c r="F38" s="1509" t="str">
        <v>PR19NES_COM15</v>
      </c>
      <c r="G38" s="1509" t="str">
        <v>%</v>
      </c>
      <c r="H38" s="446"/>
      <c r="I38" s="446"/>
      <c r="J38" s="1439">
        <v>98.52</v>
      </c>
      <c r="K38" s="1439">
        <v>98.52</v>
      </c>
      <c r="L38" s="1439" t="str">
        <v/>
      </c>
      <c r="M38" s="1439" t="str">
        <v/>
      </c>
      <c r="N38" s="1439" t="str">
        <v>No</v>
      </c>
      <c r="O38" s="1436">
        <f>VLOOKUP(F38,'3B'!$C$9:$H$38,6,FALSE)</f>
        <v>-0.28656000000000237</v>
      </c>
      <c r="P38" s="1442">
        <v>-0.28656000000000237</v>
      </c>
    </row>
    <row r="39" spans="1:16" ht="14.5">
      <c r="A39" s="1367"/>
      <c r="B39" s="1367"/>
      <c r="C39" s="1367"/>
      <c r="D39" s="1367"/>
      <c r="E39" s="1509" t="str">
        <v>Sewer blockages</v>
      </c>
      <c r="F39" s="1509" t="str">
        <v>PR19NES_BES15</v>
      </c>
      <c r="G39" s="1509" t="str">
        <v>nr</v>
      </c>
      <c r="H39" s="446"/>
      <c r="I39" s="446"/>
      <c r="J39" s="1439">
        <v>10500</v>
      </c>
      <c r="K39" s="1439">
        <v>10500</v>
      </c>
      <c r="L39" s="1439" t="str">
        <v/>
      </c>
      <c r="M39" s="1439" t="str">
        <v/>
      </c>
      <c r="N39" s="1439" t="str">
        <v>No</v>
      </c>
      <c r="O39" s="1436">
        <f>VLOOKUP(F39,'3B'!$C$9:$H$38,6,FALSE)</f>
        <v>0.35099999999999998</v>
      </c>
      <c r="P39" s="1442">
        <v>0.35099999999999998</v>
      </c>
    </row>
    <row r="40" spans="1:16" ht="14.5">
      <c r="A40" s="1367"/>
      <c r="B40" s="1367"/>
      <c r="C40" s="1367"/>
      <c r="D40" s="1367"/>
      <c r="E40" s="1435" t="str">
        <v>External sewer flooding</v>
      </c>
      <c r="F40" s="1509" t="str">
        <v>PR19NES_BES16</v>
      </c>
      <c r="G40" s="1435" t="str">
        <v>nr</v>
      </c>
      <c r="H40" s="446"/>
      <c r="I40" s="446"/>
      <c r="J40" s="1439">
        <v>2824</v>
      </c>
      <c r="K40" s="1439">
        <v>2824</v>
      </c>
      <c r="L40" s="1439" t="str">
        <v/>
      </c>
      <c r="M40" s="1439" t="str">
        <v/>
      </c>
      <c r="N40" s="1439" t="str">
        <v>No</v>
      </c>
      <c r="O40" s="1436">
        <f>VLOOKUP(F40,'3B'!$C$9:$H$38,6,FALSE)</f>
        <v>1.7239999999999998E-2</v>
      </c>
      <c r="P40" s="1442">
        <v>1.7239999999999998E-2</v>
      </c>
    </row>
    <row r="41" spans="1:16" ht="14.5">
      <c r="A41" s="1367"/>
      <c r="B41" s="1367"/>
      <c r="C41" s="1367"/>
      <c r="D41" s="1367"/>
      <c r="E41" s="1435" t="str">
        <v xml:space="preserve">Repeat sewer flooding </v>
      </c>
      <c r="F41" s="1509" t="str">
        <v>PR19NES_BES17</v>
      </c>
      <c r="G41" s="1435" t="str">
        <v>nr</v>
      </c>
      <c r="H41" s="446"/>
      <c r="I41" s="446"/>
      <c r="J41" s="1439">
        <v>27</v>
      </c>
      <c r="K41" s="1439">
        <v>27</v>
      </c>
      <c r="L41" s="1439" t="str">
        <v/>
      </c>
      <c r="M41" s="1439" t="str">
        <v/>
      </c>
      <c r="N41" s="1439" t="str">
        <v>No</v>
      </c>
      <c r="O41" s="1436">
        <f>VLOOKUP(F41,'3B'!$C$9:$H$38,6,FALSE)</f>
        <v>0.66120000000000001</v>
      </c>
      <c r="P41" s="1442">
        <v>0.66120000000000001</v>
      </c>
    </row>
    <row r="42" spans="1:16" ht="14.5">
      <c r="A42" s="1367"/>
      <c r="B42" s="1367"/>
      <c r="C42" s="1367"/>
      <c r="D42" s="1367"/>
      <c r="E42" s="1435" t="str">
        <v xml:space="preserve">Bathing water compliance </v>
      </c>
      <c r="F42" s="1509" t="str">
        <v>PR19NES_BES19</v>
      </c>
      <c r="G42" s="1435" t="str">
        <v>%</v>
      </c>
      <c r="H42" s="446"/>
      <c r="I42" s="446"/>
      <c r="J42" s="1439">
        <v>94.1</v>
      </c>
      <c r="K42" s="1439">
        <v>94.1</v>
      </c>
      <c r="L42" s="1439" t="str">
        <v/>
      </c>
      <c r="M42" s="1439" t="str">
        <v/>
      </c>
      <c r="N42" s="1439" t="str">
        <v>No</v>
      </c>
      <c r="O42" s="1436">
        <f>VLOOKUP(F42,'3B'!$C$9:$H$38,6,FALSE)</f>
        <v>-0.73704000000000203</v>
      </c>
      <c r="P42" s="1442">
        <v>-0.73704000000000203</v>
      </c>
    </row>
    <row r="43" spans="1:16" ht="14.5">
      <c r="A43" s="1367"/>
      <c r="B43" s="1367"/>
      <c r="C43" s="1367"/>
      <c r="D43" s="1367"/>
      <c r="E43" s="1435" t="str">
        <v>Delivery wastewater resilience enhancement programme</v>
      </c>
      <c r="F43" s="1509" t="str">
        <v>PR19NES_BES27</v>
      </c>
      <c r="G43" s="1435" t="str">
        <v>nr</v>
      </c>
      <c r="H43" s="446"/>
      <c r="I43" s="446"/>
      <c r="J43" s="1439">
        <v>132</v>
      </c>
      <c r="K43" s="1439">
        <v>132</v>
      </c>
      <c r="L43" s="1439" t="str">
        <v/>
      </c>
      <c r="M43" s="1439" t="str">
        <v/>
      </c>
      <c r="N43" s="1439" t="str">
        <v>No</v>
      </c>
      <c r="O43" s="1436">
        <f>VLOOKUP(F43,'3B'!$C$9:$H$38,6,FALSE)</f>
        <v>0</v>
      </c>
      <c r="P43" s="1442">
        <v>0</v>
      </c>
    </row>
    <row r="44" spans="1:16" ht="14.5">
      <c r="A44" s="1367"/>
      <c r="B44" s="1367"/>
      <c r="C44" s="1367"/>
      <c r="D44" s="1367"/>
      <c r="E44" s="1435" t="str">
        <v>Water Industry National Environment Programme</v>
      </c>
      <c r="F44" s="1509" t="str">
        <v>PR19NES_BES31</v>
      </c>
      <c r="G44" s="1435" t="str">
        <v>nr</v>
      </c>
      <c r="H44" s="446"/>
      <c r="I44" s="446"/>
      <c r="J44" s="1439">
        <v>535</v>
      </c>
      <c r="K44" s="1439">
        <v>535</v>
      </c>
      <c r="L44" s="1439" t="str">
        <v/>
      </c>
      <c r="M44" s="1439" t="str">
        <v/>
      </c>
      <c r="N44" s="1439" t="str">
        <v>No</v>
      </c>
      <c r="O44" s="1436">
        <f>VLOOKUP(F44,'3B'!$C$9:$H$38,6,FALSE)</f>
        <v>0</v>
      </c>
      <c r="P44" s="1442">
        <v>0</v>
      </c>
    </row>
    <row r="45" spans="1:16" ht="14.5">
      <c r="A45" s="1367"/>
      <c r="B45" s="1367"/>
      <c r="C45" s="1367"/>
      <c r="D45" s="1367"/>
      <c r="E45" s="1435" t="str">
        <v>Delivery of Howdon STW enhancement</v>
      </c>
      <c r="F45" s="1509" t="str">
        <v>PR19NES_BES29</v>
      </c>
      <c r="G45" s="1435" t="str">
        <v>months</v>
      </c>
      <c r="H45" s="446"/>
      <c r="I45" s="446"/>
      <c r="J45" s="1439">
        <v>0</v>
      </c>
      <c r="K45" s="1439">
        <v>0</v>
      </c>
      <c r="L45" s="1439" t="str">
        <v/>
      </c>
      <c r="M45" s="1439" t="str">
        <v/>
      </c>
      <c r="N45" s="1439" t="str">
        <v>No</v>
      </c>
      <c r="O45" s="1436">
        <f>VLOOKUP(F45,'3B'!$C$9:$H$38,6,FALSE)</f>
        <v>0</v>
      </c>
      <c r="P45" s="1442">
        <v>0</v>
      </c>
    </row>
    <row r="46" spans="1:16" ht="14.5">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5">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5">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5">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5">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5">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5">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5">
      <c r="A53" s="1367"/>
      <c r="B53" s="1367"/>
      <c r="C53" s="1367"/>
      <c r="D53" s="1367"/>
      <c r="E53" s="1353"/>
      <c r="F53" s="1367"/>
      <c r="G53" s="1353"/>
      <c r="H53" s="1367"/>
      <c r="I53" s="1367"/>
      <c r="J53" s="1367"/>
      <c r="K53" s="1370"/>
      <c r="L53" s="171"/>
      <c r="M53" s="171"/>
      <c r="N53" s="171"/>
      <c r="O53" s="171"/>
      <c r="P53" s="171"/>
    </row>
    <row r="54" spans="1:16" ht="20.5">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activeCell="E28" sqref="E28"/>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Northumbrian Water</v>
      </c>
      <c r="I1" s="244"/>
      <c r="J1" s="630" t="str">
        <f>VLOOKUP($H$1,Validation!$B$5:$C$22,2,0)</f>
        <v>NES</v>
      </c>
      <c r="K1" s="244"/>
      <c r="L1" s="244"/>
      <c r="M1" s="244"/>
    </row>
    <row r="2" spans="1:13" s="201" customFormat="1" ht="13">
      <c r="A2" s="444"/>
      <c r="B2" s="444"/>
      <c r="C2" s="444"/>
      <c r="D2" s="444"/>
      <c r="E2" s="444"/>
      <c r="F2" s="453" t="s">
        <v>1045</v>
      </c>
      <c r="G2" s="453" t="s">
        <v>131</v>
      </c>
      <c r="H2" s="453" t="s">
        <v>1046</v>
      </c>
      <c r="I2" s="444"/>
      <c r="J2" s="1937" t="s">
        <v>968</v>
      </c>
      <c r="K2" s="1937" t="s">
        <v>980</v>
      </c>
      <c r="L2" s="1937" t="s">
        <v>985</v>
      </c>
      <c r="M2" s="1937" t="s">
        <v>958</v>
      </c>
    </row>
    <row r="3" spans="1:13" s="205" customFormat="1" ht="13">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
      <c r="A4" s="446"/>
      <c r="B4" s="677" t="s">
        <v>1592</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1593</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0.20307510000000001</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-2.0464246753333324</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1.2332081959999961</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4.1681177999999999E-2</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1.4388588680000001</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2023-24 performance</v>
      </c>
      <c r="B15" s="633"/>
      <c r="C15" s="633"/>
      <c r="D15" s="634"/>
      <c r="E15" s="635"/>
      <c r="F15" s="635"/>
      <c r="G15" s="635"/>
      <c r="H15" s="636"/>
      <c r="I15" s="1988"/>
      <c r="J15" s="663"/>
      <c r="K15" s="635"/>
      <c r="L15" s="635"/>
      <c r="M15" s="635"/>
    </row>
    <row r="16" spans="1:13" ht="13">
      <c r="A16" s="446"/>
      <c r="B16" s="677" t="s">
        <v>1594</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1575</v>
      </c>
      <c r="D18" s="446"/>
      <c r="E18" s="446"/>
      <c r="F18" s="446"/>
      <c r="G18" s="446"/>
      <c r="H18" s="446"/>
      <c r="I18" s="446"/>
    </row>
    <row r="19" spans="1:13" ht="13">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-1.9602000000000004</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1576</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1595</v>
      </c>
      <c r="B36" s="633"/>
      <c r="C36" s="633"/>
      <c r="D36" s="634"/>
      <c r="E36" s="635"/>
      <c r="F36" s="635"/>
      <c r="G36" s="635"/>
      <c r="H36" s="636"/>
      <c r="I36" s="1988"/>
      <c r="J36" s="663"/>
      <c r="K36" s="635"/>
      <c r="L36" s="635"/>
      <c r="M36" s="635"/>
    </row>
    <row r="37" spans="1:13" ht="13">
      <c r="A37" s="446"/>
      <c r="B37" s="677" t="s">
        <v>1596</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1575</v>
      </c>
      <c r="D39" s="446"/>
      <c r="E39" s="446"/>
      <c r="F39" s="446"/>
      <c r="G39" s="446"/>
      <c r="H39" s="446"/>
    </row>
    <row r="40" spans="1:13" ht="13">
      <c r="A40" s="446"/>
      <c r="B40" s="446"/>
      <c r="C40" s="446"/>
      <c r="D40" s="446"/>
      <c r="E40" s="657" t="str">
        <f>E7</f>
        <v>Revenue adjustments - Net ODI payments (to be applied in-period) - Water resources</v>
      </c>
      <c r="F40" s="657">
        <f>F7</f>
        <v>0.20307510000000001</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-2.0464246753333324</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1.2332081959999961</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4.1681177999999999E-2</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1.4388588680000001</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2133" t="s">
        <v>1597</v>
      </c>
      <c r="D48" s="1382"/>
      <c r="E48" s="1382"/>
      <c r="F48" s="446"/>
      <c r="G48" s="446"/>
      <c r="H48" s="446"/>
      <c r="I48" s="451" t="s">
        <v>1598</v>
      </c>
      <c r="J48" s="446"/>
      <c r="K48" s="446"/>
      <c r="L48" s="446"/>
      <c r="M48" s="446"/>
    </row>
    <row r="49" spans="1:13" ht="13">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991" t="str">
        <f t="shared" ref="E50:E55" si="2">E20</f>
        <v>Revenue adjustments - Net ODI payments (to be applied end of period) - Water network plus</v>
      </c>
      <c r="F50" s="657">
        <f>IF('Validation summary'!$B$2="2024-25",($F20+SUM($J50:$M50)),$F20)</f>
        <v>-1.9602000000000004</v>
      </c>
      <c r="G50" s="657" t="str">
        <f t="shared" ref="G50:G55" si="3">G20</f>
        <v>£m (2017-18 prices)</v>
      </c>
      <c r="H50" s="446"/>
      <c r="I50" s="446"/>
      <c r="J50" s="645">
        <f>SUMIFS('Accrued ODI payments'!F$58:F$444,'Accrued ODI payments'!$C$58:$C$444,$E50,'Accrued ODI payments'!$B$58:$B$444,$J$1)</f>
        <v>-1.3662000000000001</v>
      </c>
      <c r="K50" s="645">
        <f>SUMIFS('Accrued ODI payments'!G$58:G$444,'Accrued ODI payments'!$C$58:$C$444,$E50,'Accrued ODI payments'!$B$58:$B$444,$J$1)</f>
        <v>-1.9403999999999999</v>
      </c>
      <c r="L50" s="645">
        <f>SUMIFS('Accrued ODI payments'!H$58:H$444,'Accrued ODI payments'!$C$58:$C$444,$E50,'Accrued ODI payments'!$B$58:$B$444,$J$1)</f>
        <v>-2.5541999999999998</v>
      </c>
      <c r="M50" s="645">
        <f>SUMIFS('Accrued ODI payments'!I$58:I$444,'Accrued ODI payments'!$C$58:$C$444,$E50,'Accrued ODI payments'!$B$58:$B$444,$J$1)</f>
        <v>-1.9601999999999999</v>
      </c>
    </row>
    <row r="51" spans="1:13" ht="13">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1599</v>
      </c>
      <c r="D57" s="446"/>
      <c r="E57" s="446"/>
      <c r="F57" s="446"/>
      <c r="G57" s="446"/>
      <c r="H57" s="446"/>
      <c r="I57" s="451" t="s">
        <v>1600</v>
      </c>
      <c r="J57" s="446"/>
      <c r="K57" s="446"/>
      <c r="L57" s="446"/>
      <c r="M57" s="446"/>
    </row>
    <row r="58" spans="1:13" ht="13">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1601</v>
      </c>
      <c r="B66" s="633"/>
      <c r="C66" s="633"/>
      <c r="D66" s="634"/>
      <c r="E66" s="635"/>
      <c r="F66" s="635"/>
      <c r="G66" s="635"/>
      <c r="H66" s="636"/>
      <c r="I66" s="1988"/>
      <c r="J66" s="663"/>
      <c r="K66" s="635"/>
      <c r="L66" s="635"/>
      <c r="M66" s="635"/>
    </row>
    <row r="67" spans="1:13" ht="13">
      <c r="A67" s="446"/>
      <c r="B67" s="677" t="s">
        <v>1602</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82" t="s">
        <v>1603</v>
      </c>
      <c r="D69" s="1382"/>
      <c r="E69" s="446"/>
      <c r="F69" s="1385">
        <f>SUM(F40:F46)</f>
        <v>0.87039866666666377</v>
      </c>
      <c r="G69" s="1382" t="s">
        <v>700</v>
      </c>
      <c r="H69" s="446"/>
      <c r="I69" s="446"/>
      <c r="J69" s="446"/>
      <c r="K69" s="446"/>
      <c r="L69" s="446"/>
      <c r="M69" s="446"/>
    </row>
    <row r="70" spans="1:13" ht="13">
      <c r="A70" s="446"/>
      <c r="B70" s="446"/>
      <c r="C70" s="1382" t="s">
        <v>1604</v>
      </c>
      <c r="D70" s="1382"/>
      <c r="E70" s="446"/>
      <c r="F70" s="1385">
        <f>SUM(F49:F55)</f>
        <v>-1.9602000000000004</v>
      </c>
      <c r="G70" s="1382" t="s">
        <v>700</v>
      </c>
      <c r="H70" s="446"/>
      <c r="I70" s="446"/>
      <c r="J70" s="446"/>
      <c r="K70" s="446"/>
      <c r="L70" s="446"/>
      <c r="M70" s="446"/>
    </row>
    <row r="71" spans="1:13" ht="13">
      <c r="A71" s="446"/>
      <c r="B71" s="446"/>
      <c r="C71" s="1382" t="s">
        <v>1605</v>
      </c>
      <c r="D71" s="1382"/>
      <c r="E71" s="446"/>
      <c r="F71" s="1385">
        <f>SUM(F58:F64)</f>
        <v>0</v>
      </c>
      <c r="G71" s="1382" t="s">
        <v>700</v>
      </c>
      <c r="H71" s="446"/>
      <c r="I71" s="446"/>
      <c r="J71" s="446"/>
      <c r="K71" s="446"/>
      <c r="L71" s="446"/>
      <c r="M71" s="446"/>
    </row>
    <row r="72" spans="1:13" ht="13">
      <c r="A72" s="446"/>
      <c r="B72" s="446"/>
      <c r="C72" s="1382" t="s">
        <v>1046</v>
      </c>
      <c r="D72" s="1382"/>
      <c r="E72" s="446"/>
      <c r="F72" s="1385">
        <f>SUM(F69:F71)</f>
        <v>-1.0898013333333365</v>
      </c>
      <c r="G72" s="1382" t="s">
        <v>700</v>
      </c>
      <c r="H72" s="446"/>
      <c r="I72" s="446"/>
      <c r="J72" s="446"/>
      <c r="K72" s="446"/>
      <c r="L72" s="446"/>
      <c r="M72" s="446"/>
    </row>
    <row r="73" spans="1:13" ht="13">
      <c r="A73" s="446"/>
      <c r="B73" s="446"/>
      <c r="C73" s="1382"/>
      <c r="D73" s="1382"/>
      <c r="E73" s="446"/>
      <c r="F73" s="1382"/>
      <c r="G73" s="1382"/>
      <c r="H73" s="446"/>
      <c r="I73" s="446"/>
      <c r="J73" s="446"/>
      <c r="K73" s="446"/>
      <c r="L73" s="446"/>
      <c r="M73" s="446"/>
    </row>
    <row r="74" spans="1:13" ht="13">
      <c r="A74" s="446"/>
      <c r="B74" s="446"/>
      <c r="C74" s="1382" t="s">
        <v>1606</v>
      </c>
      <c r="D74" s="1382"/>
      <c r="E74" s="446"/>
      <c r="F74" s="1385">
        <f>SUM('3A'!$H$9:$H$16,'3A'!$H$19:$H$38)</f>
        <v>-1.6523813333333324</v>
      </c>
      <c r="G74" s="1382" t="s">
        <v>700</v>
      </c>
      <c r="H74" s="446"/>
      <c r="I74" s="446"/>
      <c r="J74" s="446"/>
      <c r="K74" s="446"/>
      <c r="L74" s="446"/>
      <c r="M74" s="446"/>
    </row>
    <row r="75" spans="1:13" ht="13">
      <c r="A75" s="446"/>
      <c r="B75" s="446"/>
      <c r="C75" s="1382" t="s">
        <v>1607</v>
      </c>
      <c r="D75" s="1382"/>
      <c r="E75" s="446"/>
      <c r="F75" s="1385">
        <f>SUM('3B'!$H$9:$H$12,'3B'!$H$15:$H$28)</f>
        <v>0.56257999999999553</v>
      </c>
      <c r="G75" s="1382" t="s">
        <v>700</v>
      </c>
      <c r="H75" s="446"/>
      <c r="I75" s="446"/>
      <c r="J75" s="446"/>
      <c r="K75" s="446"/>
      <c r="L75" s="446"/>
      <c r="M75" s="446"/>
    </row>
    <row r="76" spans="1:13" ht="13">
      <c r="A76" s="446"/>
      <c r="B76" s="446"/>
      <c r="C76" s="1382" t="s">
        <v>1608</v>
      </c>
      <c r="D76" s="1382"/>
      <c r="E76" s="446"/>
      <c r="F76" s="1385">
        <f>IF('Validation summary'!$B$2="2024-25",SUM('Model outputs - Aggregate level'!$J$49:$M$55),0)</f>
        <v>0</v>
      </c>
      <c r="G76" s="1382" t="s">
        <v>700</v>
      </c>
      <c r="H76" s="446"/>
      <c r="I76" s="446"/>
      <c r="J76" s="446"/>
      <c r="K76" s="446"/>
      <c r="L76" s="446"/>
      <c r="M76" s="446"/>
    </row>
    <row r="77" spans="1:13" ht="13">
      <c r="A77" s="446"/>
      <c r="B77" s="446"/>
      <c r="C77" s="1382" t="s">
        <v>1609</v>
      </c>
      <c r="D77" s="1382"/>
      <c r="E77" s="446"/>
      <c r="F77" s="1385">
        <f>IF('Validation summary'!$B$2="2024-25",SUM('Model outputs - Aggregate level'!$J$58:$M$64),0)</f>
        <v>0</v>
      </c>
      <c r="G77" s="1382" t="s">
        <v>700</v>
      </c>
      <c r="H77" s="446"/>
      <c r="I77" s="446"/>
      <c r="J77" s="446"/>
      <c r="K77" s="446"/>
      <c r="L77" s="446"/>
      <c r="M77" s="446"/>
    </row>
    <row r="78" spans="1:13" ht="13">
      <c r="A78" s="446"/>
      <c r="B78" s="446"/>
      <c r="C78" s="1382" t="s">
        <v>1046</v>
      </c>
      <c r="D78" s="1382"/>
      <c r="E78" s="446"/>
      <c r="F78" s="1385">
        <f>SUM(F74:F77)</f>
        <v>-1.089801333333337</v>
      </c>
      <c r="G78" s="1382" t="s">
        <v>700</v>
      </c>
      <c r="H78" s="446"/>
      <c r="I78" s="446"/>
      <c r="J78" s="446"/>
      <c r="K78" s="446"/>
      <c r="L78" s="446"/>
      <c r="M78" s="446"/>
    </row>
    <row r="79" spans="1:13" ht="13">
      <c r="A79" s="446"/>
      <c r="B79" s="446"/>
      <c r="C79" s="1382"/>
      <c r="D79" s="1382"/>
      <c r="E79" s="446"/>
      <c r="F79" s="1382"/>
      <c r="G79" s="1382"/>
      <c r="H79" s="446"/>
      <c r="I79" s="446"/>
      <c r="J79" s="446"/>
      <c r="K79" s="446"/>
      <c r="L79" s="446"/>
      <c r="M79" s="446"/>
    </row>
    <row r="80" spans="1:13" ht="13">
      <c r="A80" s="446"/>
      <c r="B80" s="446"/>
      <c r="C80" s="1382" t="s">
        <v>1610</v>
      </c>
      <c r="D80" s="1382"/>
      <c r="E80" s="446"/>
      <c r="F80" s="1385">
        <f>F78-F72</f>
        <v>0</v>
      </c>
      <c r="G80" s="1382" t="s">
        <v>700</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5"/>
  <cols>
    <col min="1" max="3" width="1.58203125" style="1367" customWidth="1"/>
    <col min="4" max="4" width="13.5" style="1367" bestFit="1" customWidth="1"/>
    <col min="5" max="5" width="55.33203125" style="1367" bestFit="1" customWidth="1"/>
    <col min="6" max="6" width="10" style="1367" bestFit="1" customWidth="1"/>
    <col min="7" max="7" width="10" style="1367" customWidth="1"/>
    <col min="8" max="8" width="18.58203125" style="1367" customWidth="1"/>
    <col min="9" max="9" width="16" style="1367" customWidth="1"/>
    <col min="10" max="10" width="10.75" style="1367" bestFit="1" customWidth="1"/>
    <col min="11" max="16384" width="9" style="1367"/>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Northumbrian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41"/>
    </row>
    <row r="5" spans="1:29">
      <c r="H5" s="2188" t="str">
        <f>Performance!E161</f>
        <v>Financial incentives apply or accrue this year?</v>
      </c>
      <c r="I5" s="2188" t="s">
        <v>1613</v>
      </c>
      <c r="J5" s="2138"/>
      <c r="K5" s="1937" t="s">
        <v>968</v>
      </c>
      <c r="L5" s="1937" t="s">
        <v>980</v>
      </c>
      <c r="M5" s="1940" t="s">
        <v>985</v>
      </c>
      <c r="N5" s="1937" t="s">
        <v>958</v>
      </c>
      <c r="O5" s="1940" t="s">
        <v>970</v>
      </c>
      <c r="P5" s="1937"/>
      <c r="Q5" s="1937"/>
    </row>
    <row r="6" spans="1:29">
      <c r="D6" s="448" t="s">
        <v>1123</v>
      </c>
      <c r="E6" s="448" t="s">
        <v>1122</v>
      </c>
      <c r="F6" s="2139" t="s">
        <v>944</v>
      </c>
      <c r="G6" s="2139" t="s">
        <v>942</v>
      </c>
      <c r="H6" s="2188"/>
      <c r="I6" s="2188"/>
      <c r="J6" s="2138" t="s">
        <v>1614</v>
      </c>
      <c r="K6" s="1937" t="s">
        <v>141</v>
      </c>
      <c r="L6" s="1937" t="s">
        <v>141</v>
      </c>
      <c r="M6" s="1940" t="s">
        <v>141</v>
      </c>
      <c r="N6" s="1937" t="s">
        <v>141</v>
      </c>
      <c r="O6" s="1940" t="s">
        <v>141</v>
      </c>
      <c r="P6" s="1937"/>
      <c r="Q6" s="1937"/>
    </row>
    <row r="7" spans="1:29">
      <c r="D7" s="1434" t="str" cm="1">
        <f t="array" ref="D7:D52">TRANSPOSE(Performance!J5:BC5)</f>
        <v>PR19NES_COM03</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PR19NES_COM04</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PR19NES_COM05</v>
      </c>
      <c r="E9" s="1434" t="str">
        <v>Leakage NW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PR19NES_COM06</v>
      </c>
      <c r="E10" s="1434" t="str">
        <v>Leakage ESW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PR19NES_COM07</v>
      </c>
      <c r="E11" s="1434" t="str">
        <v>Per capita consumption</v>
      </c>
      <c r="F11" s="1939" t="str">
        <v>End of period</v>
      </c>
      <c r="G11" s="1939" t="str">
        <v>Revenue</v>
      </c>
      <c r="H11" s="1939" t="b">
        <v>1</v>
      </c>
      <c r="I11" s="1939" t="b">
        <v>0</v>
      </c>
      <c r="J11" s="1939" t="str">
        <f>'3A'!AN13</f>
        <v>APR3A_16_PR24</v>
      </c>
      <c r="K11" s="595">
        <f>IFERROR(VLOOKUP($D11,'Accrued ODI payments'!$D$14:$I$31,3,0),"")</f>
        <v>-1.3662000000000001</v>
      </c>
      <c r="L11" s="643">
        <f>IFERROR(VLOOKUP($D11,'Accrued ODI payments'!$D$14:$I$31,4,0),"")</f>
        <v>-1.9404000000000001</v>
      </c>
      <c r="M11" s="1943">
        <f>IFERROR(VLOOKUP($D11,'Accrued ODI payments'!$D$14:$I$31,5,0),"")</f>
        <v>-2.5541999999999998</v>
      </c>
      <c r="N11" s="643">
        <f>IF('Validation summary'!$B$2="2023-24",IFERROR(IF(AND($F11="End of period",$H11=TRUE),(HLOOKUP($D11,'Model outputs - PC level'!$J$5:$BC$25,5,0) + HLOOKUP($D11,'Model outputs - PC level'!$J$5:$BC$25,6,0)),""),""),"")</f>
        <v>-1.9602000000000002</v>
      </c>
      <c r="O11" s="1943" t="str">
        <f>IF('Validation summary'!$B$2="2024-25",IFERROR(IF(AND($F11="End of period",$H11=TRUE),(HLOOKUP($D11,'Model outputs - PC level'!$J$5:$BC$25,5,0) + HLOOKUP($D11,'Model outputs - PC level'!$J$5:$BC$25,6,0)),""),""),"")</f>
        <v/>
      </c>
      <c r="P11" s="1946"/>
      <c r="Q11" s="1946"/>
      <c r="S11" s="446"/>
    </row>
    <row r="12" spans="1:29">
      <c r="D12" s="1434" t="str">
        <v/>
      </c>
      <c r="E12" s="1434" t="str">
        <v>[For use by SSC only]</v>
      </c>
      <c r="F12" s="1939" t="str">
        <v/>
      </c>
      <c r="G12" s="1939" t="str">
        <v/>
      </c>
      <c r="H12" s="1939" t="b">
        <v>1</v>
      </c>
      <c r="I12" s="1939" t="b">
        <v>0</v>
      </c>
      <c r="J12" s="1939" t="str">
        <f>'3A'!AN14</f>
        <v>APR3A_16A_PR24</v>
      </c>
      <c r="K12" s="595" t="str">
        <f>IFERROR(VLOOKUP($D12,'Accrued ODI payments'!$D$14:$I$31,3,0),"")</f>
        <v/>
      </c>
      <c r="L12" s="643" t="str">
        <f>IFERROR(VLOOKUP($D12,'Accrued ODI payments'!$D$14:$I$31,4,0),"")</f>
        <v/>
      </c>
      <c r="M12" s="1943" t="str">
        <f>IFERROR(VLOOKUP($D12,'Accrued ODI payments'!$D$14:$I$31,5,0),"")</f>
        <v/>
      </c>
      <c r="N12" s="643" t="str">
        <f>IF('Validation summary'!$B$2="2023-24",IFERROR(IF(AND($F12="End of period",$H12=TRUE),(HLOOKUP($D12,'Model outputs - PC level'!$J$5:$BC$25,5,0) + HLOOKUP($D12,'Model outputs - PC level'!$J$5:$BC$25,6,0)),""),""),"")</f>
        <v/>
      </c>
      <c r="O12" s="1943" t="str">
        <f>IF('Validation summary'!$B$2="2024-25",IFERROR(IF(AND($F12="End of period",$H12=TRUE),(HLOOKUP($D12,'Model outputs - PC level'!$J$5:$BC$25,5,0) + HLOOKUP($D12,'Model outputs - PC level'!$J$5:$BC$25,6,0)),""),""),"")</f>
        <v/>
      </c>
      <c r="P12" s="1946"/>
      <c r="Q12" s="1946"/>
      <c r="S12" s="446"/>
    </row>
    <row r="13" spans="1:29">
      <c r="D13" s="1434" t="str">
        <v>PR19NES_COM12</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PR19NES_COM13</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PR19NES_BES04</v>
      </c>
      <c r="E15" s="1434" t="str">
        <v>Visible leak repair time</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PR19NES_BES08</v>
      </c>
      <c r="E16" s="1434" t="str">
        <v xml:space="preserve">Voids </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PR19NES_BES09</v>
      </c>
      <c r="E17" s="1434" t="str">
        <v>Interruptions to supply greater than 12 hours</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PR19NES_BES11</v>
      </c>
      <c r="E18" s="1434" t="str">
        <v>Discoloured water contacts</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PR19NES_BES12</v>
      </c>
      <c r="E19" s="1434" t="str">
        <v>Taste and smell contacts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PR19NES_BES13</v>
      </c>
      <c r="E20" s="1434" t="str">
        <v xml:space="preserve">Event Risk Index  </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PR19NES_BES14</v>
      </c>
      <c r="E21" s="1434" t="str">
        <v xml:space="preserve">Interruptions to supply between one and three hours </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PR19NES_BES18</v>
      </c>
      <c r="E22" s="1434" t="str">
        <v>Abstraction incentive mechanism (AIM)</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PR19NES_BES20</v>
      </c>
      <c r="E23" s="1434" t="str">
        <v>Water environment improvements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PR19NES_BES21</v>
      </c>
      <c r="E24" s="1434" t="str">
        <v>Greenhouse Gas Emissions</v>
      </c>
      <c r="F24" s="1939" t="str">
        <v>In-period</v>
      </c>
      <c r="G24" s="1939" t="str">
        <v>Revenue</v>
      </c>
      <c r="H24" s="1939" t="b">
        <v>1</v>
      </c>
      <c r="I24" s="1939" t="b">
        <v>1</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PR19NES_BES24</v>
      </c>
      <c r="E25" s="1434" t="str">
        <v>Delivery of water resilience enhanced programme</v>
      </c>
      <c r="F25" s="1939" t="str">
        <v>End of period</v>
      </c>
      <c r="G25" s="1939" t="str">
        <v>Revenue</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f>IF('Validation summary'!$B$2="2023-24",IFERROR(IF(AND($F25="End of period",$H25=TRUE),(HLOOKUP($D25,'Model outputs - PC level'!$J$5:$BC$25,5,0) + HLOOKUP($D25,'Model outputs - PC level'!$J$5:$BC$25,6,0)),""),""),"")</f>
        <v>0</v>
      </c>
      <c r="O25" s="1943" t="str">
        <f>IF('Validation summary'!$B$2="2024-25",IFERROR(IF(AND($F25="End of period",$H25=TRUE),(HLOOKUP($D25,'Model outputs - PC level'!$J$5:$BC$25,5,0) + HLOOKUP($D25,'Model outputs - PC level'!$J$5:$BC$25,6,0)),""),""),"")</f>
        <v/>
      </c>
      <c r="P25" s="1946"/>
      <c r="Q25" s="1946"/>
      <c r="S25" s="446"/>
    </row>
    <row r="26" spans="4:19">
      <c r="D26" s="1434" t="str">
        <v>PR19NES_BES25</v>
      </c>
      <c r="E26" s="1434" t="str">
        <v>Delivery of lead enhancement programme</v>
      </c>
      <c r="F26" s="1939" t="str">
        <v>End of period</v>
      </c>
      <c r="G26" s="1939" t="str">
        <v>Revenue</v>
      </c>
      <c r="H26" s="1939" t="b">
        <v>0</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PR19NES_BES26</v>
      </c>
      <c r="E27" s="1509" t="str">
        <v>Delivery of smart water metering enhancement programme</v>
      </c>
      <c r="F27" s="1938" t="str">
        <v>End of period</v>
      </c>
      <c r="G27" s="1938" t="str">
        <v>Revenue</v>
      </c>
      <c r="H27" s="1938" t="b">
        <v>0</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PR19NES_BES28</v>
      </c>
      <c r="E28" s="1509" t="str">
        <v>Delivery of cyber resilience enhancement programme</v>
      </c>
      <c r="F28" s="1938" t="str">
        <v>In-period</v>
      </c>
      <c r="G28" s="1938" t="str">
        <v>Revenue</v>
      </c>
      <c r="H28" s="1938" t="b">
        <v>1</v>
      </c>
      <c r="I28" s="1938" t="b">
        <v>1</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PR19NES_COM08</v>
      </c>
      <c r="E35" s="1509" t="str">
        <v>Internal sewer flooding</v>
      </c>
      <c r="F35" s="1938" t="str">
        <v>In-period</v>
      </c>
      <c r="G35" s="1938" t="str">
        <v>Revenue</v>
      </c>
      <c r="H35" s="1938" t="b">
        <v>1</v>
      </c>
      <c r="I35" s="1938" t="b">
        <v>1</v>
      </c>
      <c r="J35" s="1938" t="str">
        <f>'3B'!AN9</f>
        <v>APR3B_09_PR24</v>
      </c>
      <c r="K35" s="1948"/>
      <c r="L35" s="1950"/>
      <c r="M35" s="1949"/>
      <c r="N35" s="1950"/>
      <c r="O35" s="1949"/>
      <c r="P35" s="1951"/>
      <c r="Q35" s="1951"/>
      <c r="S35" s="1941"/>
    </row>
    <row r="36" spans="4:19">
      <c r="D36" s="1509" t="str">
        <v>PR19NES_COM09</v>
      </c>
      <c r="E36" s="1509" t="str">
        <v>Pollution incidents</v>
      </c>
      <c r="F36" s="1938" t="str">
        <v>In-period</v>
      </c>
      <c r="G36" s="1938" t="str">
        <v>Revenue</v>
      </c>
      <c r="H36" s="1938" t="b">
        <v>1</v>
      </c>
      <c r="I36" s="1938" t="b">
        <v>1</v>
      </c>
      <c r="J36" s="1938" t="str">
        <f>'3B'!AN10</f>
        <v>APR3B_10_PR24</v>
      </c>
      <c r="K36" s="1948"/>
      <c r="L36" s="1950"/>
      <c r="M36" s="1949"/>
      <c r="N36" s="1950"/>
      <c r="O36" s="1949"/>
      <c r="P36" s="1951"/>
      <c r="Q36" s="1951"/>
      <c r="S36" s="1941"/>
    </row>
    <row r="37" spans="4:19">
      <c r="D37" s="1509" t="str">
        <v>PR19NES_COM14</v>
      </c>
      <c r="E37" s="1509" t="str">
        <v>Sewer collapses</v>
      </c>
      <c r="F37" s="1938" t="str">
        <v>In-period</v>
      </c>
      <c r="G37" s="1938" t="str">
        <v>Revenue</v>
      </c>
      <c r="H37" s="1938" t="b">
        <v>1</v>
      </c>
      <c r="I37" s="1938" t="b">
        <v>1</v>
      </c>
      <c r="J37" s="1938" t="str">
        <f>'3B'!AN11</f>
        <v>APR3B_11_PR24</v>
      </c>
      <c r="K37" s="1948"/>
      <c r="L37" s="1950"/>
      <c r="M37" s="1949"/>
      <c r="N37" s="1950"/>
      <c r="O37" s="1949"/>
      <c r="P37" s="1951"/>
      <c r="Q37" s="1951"/>
      <c r="S37" s="1941"/>
    </row>
    <row r="38" spans="4:19">
      <c r="D38" s="1509" t="str">
        <v>PR19NES_COM15</v>
      </c>
      <c r="E38" s="1509" t="str">
        <v>Treatment works compliance</v>
      </c>
      <c r="F38" s="1938" t="str">
        <v>In-period</v>
      </c>
      <c r="G38" s="1938" t="str">
        <v>Revenue</v>
      </c>
      <c r="H38" s="1938" t="b">
        <v>1</v>
      </c>
      <c r="I38" s="1938" t="b">
        <v>1</v>
      </c>
      <c r="J38" s="1938" t="str">
        <f>'3B'!AN12</f>
        <v>APR3B_12_PR24</v>
      </c>
      <c r="K38" s="1948"/>
      <c r="L38" s="1950"/>
      <c r="M38" s="1949"/>
      <c r="N38" s="1950"/>
      <c r="O38" s="1949"/>
      <c r="P38" s="1951"/>
      <c r="Q38" s="1951"/>
      <c r="S38" s="1941"/>
    </row>
    <row r="39" spans="4:19">
      <c r="D39" s="1509" t="str">
        <v>PR19NES_BES15</v>
      </c>
      <c r="E39" s="1509" t="str">
        <v>Sewer blockages</v>
      </c>
      <c r="F39" s="1938" t="str">
        <v>In-period</v>
      </c>
      <c r="G39" s="1938" t="str">
        <v>Revenue</v>
      </c>
      <c r="H39" s="1938" t="b">
        <v>1</v>
      </c>
      <c r="I39" s="1938" t="b">
        <v>1</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PR19NES_BES16</v>
      </c>
      <c r="E40" s="1435" t="str">
        <v>External sewer flooding</v>
      </c>
      <c r="F40" s="1938" t="str">
        <v>In-period</v>
      </c>
      <c r="G40" s="1938" t="str">
        <v>Revenue</v>
      </c>
      <c r="H40" s="1938" t="b">
        <v>1</v>
      </c>
      <c r="I40" s="1938" t="b">
        <v>1</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PR19NES_BES17</v>
      </c>
      <c r="E41" s="1435" t="str">
        <v xml:space="preserve">Repeat sewer flooding </v>
      </c>
      <c r="F41" s="1938" t="str">
        <v>In-period</v>
      </c>
      <c r="G41" s="1938" t="str">
        <v>Revenue</v>
      </c>
      <c r="H41" s="1938" t="b">
        <v>1</v>
      </c>
      <c r="I41" s="1938" t="b">
        <v>1</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PR19NES_BES19</v>
      </c>
      <c r="E42" s="1435" t="str">
        <v xml:space="preserve">Bathing water compliance </v>
      </c>
      <c r="F42" s="1938" t="str">
        <v>In-period</v>
      </c>
      <c r="G42" s="1938" t="str">
        <v>Revenue</v>
      </c>
      <c r="H42" s="1938" t="b">
        <v>1</v>
      </c>
      <c r="I42" s="1938" t="b">
        <v>1</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PR19NES_BES27</v>
      </c>
      <c r="E43" s="1435" t="str">
        <v>Delivery wastewater resilience enhancement programme</v>
      </c>
      <c r="F43" s="1938" t="str">
        <v>End of period</v>
      </c>
      <c r="G43" s="1938" t="str">
        <v>Revenue</v>
      </c>
      <c r="H43" s="1938" t="b">
        <v>1</v>
      </c>
      <c r="I43" s="1938" t="b">
        <v>0</v>
      </c>
      <c r="J43" s="1938" t="str">
        <f>'3B'!AN19</f>
        <v>APR3B_50_PR24</v>
      </c>
      <c r="K43" s="595">
        <f>IFERROR(VLOOKUP($D43,'Accrued ODI payments'!$M$14:$R$26,3,0),"")</f>
        <v>0</v>
      </c>
      <c r="L43" s="643">
        <f>IFERROR(VLOOKUP($D43,'Accrued ODI payments'!$M$14:$R$26,4,0),"")</f>
        <v>0</v>
      </c>
      <c r="M43" s="1943">
        <f>IFERROR(VLOOKUP($D43,'Accrued ODI payments'!$M$14:$R$26,5,0),"")</f>
        <v>0</v>
      </c>
      <c r="N43" s="643">
        <f>IF('Validation summary'!$B$2="2023-24",IFERROR(IF(AND($F43="End of period",$H43=TRUE),(HLOOKUP($D43,'Model outputs - PC level'!$J$5:$BC$25,5,0) + HLOOKUP($D43,'Model outputs - PC level'!$J$5:$BC$25,6,0)),""),""),"")</f>
        <v>0</v>
      </c>
      <c r="O43" s="1943" t="str">
        <f>IF('Validation summary'!$B$2="2024-25",IFERROR(IF(AND($F43="End of period",$H43=TRUE),(HLOOKUP($D43,'Model outputs - PC level'!$J$5:$BC$25,5,0) + HLOOKUP($D43,'Model outputs - PC level'!$J$5:$BC$25,6,0)),""),""),"")</f>
        <v/>
      </c>
      <c r="P43" s="1946"/>
      <c r="Q43" s="1946"/>
    </row>
    <row r="44" spans="4:19">
      <c r="D44" s="1435" t="str">
        <v>PR19NES_BES31</v>
      </c>
      <c r="E44" s="1435" t="str">
        <v>Water Industry National Environment Programme</v>
      </c>
      <c r="F44" s="1938" t="str">
        <v>In-period</v>
      </c>
      <c r="G44" s="1938" t="str">
        <v>Revenue</v>
      </c>
      <c r="H44" s="1938" t="b">
        <v>1</v>
      </c>
      <c r="I44" s="1938" t="b">
        <v>1</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PR19NES_BES29</v>
      </c>
      <c r="E45" s="1435" t="str">
        <v>Delivery of Howdon STW enhancement</v>
      </c>
      <c r="F45" s="1938" t="str">
        <v>End of period</v>
      </c>
      <c r="G45" s="1938" t="str">
        <v>Revenue</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f>IF('Validation summary'!$B$2="2023-24",IFERROR(IF(AND($F45="End of period",$H45=TRUE),(HLOOKUP($D45,'Model outputs - PC level'!$J$5:$BC$25,5,0) + HLOOKUP($D45,'Model outputs - PC level'!$J$5:$BC$25,6,0)),""),""),"")</f>
        <v>0</v>
      </c>
      <c r="O45" s="1943" t="str">
        <f>IF('Validation summary'!$B$2="2024-25",IFERROR(IF(AND($F45="End of period",$H45=TRUE),(HLOOKUP($D45,'Model outputs - PC level'!$J$5:$BC$25,5,0) + HLOOKUP($D45,'Model outputs - PC level'!$J$5:$BC$25,6,0)),""),""),"")</f>
        <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1121</v>
      </c>
      <c r="E53" s="448"/>
      <c r="F53" s="448"/>
      <c r="G53" s="448"/>
      <c r="H53" s="448"/>
      <c r="I53" s="448"/>
      <c r="J53" s="448"/>
      <c r="K53" s="1944">
        <f>SUM(K7:K52)</f>
        <v>-1.3662000000000001</v>
      </c>
      <c r="L53" s="1946">
        <f t="shared" ref="L53:O53" si="0">SUM(L7:L52)</f>
        <v>-1.9404000000000001</v>
      </c>
      <c r="M53" s="1945">
        <f t="shared" si="0"/>
        <v>-2.5541999999999998</v>
      </c>
      <c r="N53" s="1946">
        <f t="shared" si="0"/>
        <v>-1.9602000000000002</v>
      </c>
      <c r="O53" s="1945">
        <f t="shared" si="0"/>
        <v>0</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195" customWidth="1"/>
    <col min="2" max="2" width="20.08203125" style="1195" bestFit="1" customWidth="1"/>
    <col min="3" max="3" width="91" style="1195" bestFit="1" customWidth="1"/>
    <col min="4" max="4" width="3.83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371"/>
      <c r="C1" s="1371" t="s">
        <v>1615</v>
      </c>
      <c r="D1" s="1371"/>
      <c r="E1" s="1371"/>
      <c r="F1" s="1372"/>
      <c r="G1" s="1371"/>
    </row>
    <row r="2" spans="1:7">
      <c r="A2" s="1371" t="s">
        <v>938</v>
      </c>
      <c r="B2" s="1371" t="s">
        <v>1616</v>
      </c>
      <c r="C2" s="1371" t="s">
        <v>1617</v>
      </c>
      <c r="D2" s="1371" t="s">
        <v>131</v>
      </c>
      <c r="E2" s="1371" t="s">
        <v>1618</v>
      </c>
      <c r="F2" s="1371" t="s">
        <v>1619</v>
      </c>
      <c r="G2" s="1373" t="str">
        <f>'Validation summary'!B2</f>
        <v>2023-24</v>
      </c>
    </row>
    <row r="4" spans="1:7">
      <c r="A4" s="1371"/>
      <c r="B4" s="1197" t="s">
        <v>1620</v>
      </c>
      <c r="C4" s="1372" t="s">
        <v>1621</v>
      </c>
      <c r="D4" s="1372" t="s">
        <v>141</v>
      </c>
      <c r="E4" s="1372" t="s">
        <v>1622</v>
      </c>
      <c r="F4" s="1372"/>
      <c r="G4" s="1196">
        <f>'Model outputs - Aggregate level'!F40</f>
        <v>0.20307510000000001</v>
      </c>
    </row>
    <row r="5" spans="1:7">
      <c r="A5" s="1371"/>
      <c r="B5" s="1197" t="s">
        <v>1623</v>
      </c>
      <c r="C5" s="1372" t="s">
        <v>1624</v>
      </c>
      <c r="D5" s="1372" t="s">
        <v>141</v>
      </c>
      <c r="E5" s="1372" t="s">
        <v>1622</v>
      </c>
      <c r="F5" s="1372"/>
      <c r="G5" s="1196">
        <f>'Model outputs - Aggregate level'!F41</f>
        <v>-2.0464246753333324</v>
      </c>
    </row>
    <row r="6" spans="1:7">
      <c r="A6" s="1371"/>
      <c r="B6" s="1197" t="s">
        <v>1625</v>
      </c>
      <c r="C6" s="1372" t="s">
        <v>1626</v>
      </c>
      <c r="D6" s="1372" t="s">
        <v>141</v>
      </c>
      <c r="E6" s="1372" t="s">
        <v>1622</v>
      </c>
      <c r="F6" s="1372"/>
      <c r="G6" s="1196">
        <f>'Model outputs - Aggregate level'!F42</f>
        <v>1.2332081959999961</v>
      </c>
    </row>
    <row r="7" spans="1:7">
      <c r="A7" s="1371"/>
      <c r="B7" s="1197" t="s">
        <v>1627</v>
      </c>
      <c r="C7" s="1372" t="s">
        <v>1628</v>
      </c>
      <c r="D7" s="1372" t="s">
        <v>141</v>
      </c>
      <c r="E7" s="1372" t="s">
        <v>1622</v>
      </c>
      <c r="F7" s="1372"/>
      <c r="G7" s="1196">
        <f>'Model outputs - Aggregate level'!F43</f>
        <v>4.1681177999999999E-2</v>
      </c>
    </row>
    <row r="8" spans="1:7">
      <c r="A8" s="1371"/>
      <c r="B8" s="1197" t="s">
        <v>1629</v>
      </c>
      <c r="C8" s="1372" t="s">
        <v>1630</v>
      </c>
      <c r="D8" s="1372" t="s">
        <v>141</v>
      </c>
      <c r="E8" s="1372" t="s">
        <v>1622</v>
      </c>
      <c r="F8" s="1372"/>
      <c r="G8" s="1196">
        <f>'Model outputs - Aggregate level'!F44</f>
        <v>1.4388588680000001</v>
      </c>
    </row>
    <row r="9" spans="1:7">
      <c r="A9" s="1371"/>
      <c r="B9" s="1197" t="s">
        <v>1631</v>
      </c>
      <c r="C9" s="1372" t="s">
        <v>1632</v>
      </c>
      <c r="D9" s="1372" t="s">
        <v>141</v>
      </c>
      <c r="E9" s="1372" t="s">
        <v>1622</v>
      </c>
      <c r="F9" s="1372"/>
      <c r="G9" s="1196">
        <f>'Model outputs - Aggregate level'!F45</f>
        <v>0</v>
      </c>
    </row>
    <row r="10" spans="1:7">
      <c r="A10" s="1371"/>
      <c r="B10" s="1197" t="s">
        <v>1633</v>
      </c>
      <c r="C10" s="1372" t="s">
        <v>1634</v>
      </c>
      <c r="D10" s="1372" t="s">
        <v>141</v>
      </c>
      <c r="E10" s="1372" t="s">
        <v>1622</v>
      </c>
      <c r="F10" s="1372"/>
      <c r="G10" s="1196">
        <f>'Model outputs - Aggregate level'!F46</f>
        <v>0</v>
      </c>
    </row>
    <row r="11" spans="1:7">
      <c r="A11" s="1371"/>
      <c r="B11" s="1197" t="s">
        <v>1635</v>
      </c>
      <c r="C11" s="1372" t="s">
        <v>1636</v>
      </c>
      <c r="D11" s="1372" t="s">
        <v>141</v>
      </c>
      <c r="E11" s="1372" t="s">
        <v>1622</v>
      </c>
      <c r="F11" s="1372"/>
      <c r="G11" s="1196">
        <f>'Model outputs - Aggregate level'!F49</f>
        <v>0</v>
      </c>
    </row>
    <row r="12" spans="1:7">
      <c r="A12" s="1371"/>
      <c r="B12" s="1197" t="s">
        <v>1637</v>
      </c>
      <c r="C12" s="1372" t="s">
        <v>1638</v>
      </c>
      <c r="D12" s="1372" t="s">
        <v>141</v>
      </c>
      <c r="E12" s="1372" t="s">
        <v>1622</v>
      </c>
      <c r="F12" s="1372"/>
      <c r="G12" s="1196">
        <f>'Model outputs - Aggregate level'!F50</f>
        <v>-1.9602000000000004</v>
      </c>
    </row>
    <row r="13" spans="1:7">
      <c r="A13" s="1371"/>
      <c r="B13" s="1197" t="s">
        <v>1639</v>
      </c>
      <c r="C13" s="1372" t="s">
        <v>1640</v>
      </c>
      <c r="D13" s="1372" t="s">
        <v>141</v>
      </c>
      <c r="E13" s="1372" t="s">
        <v>1622</v>
      </c>
      <c r="F13" s="1372"/>
      <c r="G13" s="1196">
        <f>'Model outputs - Aggregate level'!F51</f>
        <v>0</v>
      </c>
    </row>
    <row r="14" spans="1:7">
      <c r="A14" s="1371"/>
      <c r="B14" s="1197" t="s">
        <v>1641</v>
      </c>
      <c r="C14" s="1372" t="s">
        <v>1642</v>
      </c>
      <c r="D14" s="1372" t="s">
        <v>141</v>
      </c>
      <c r="E14" s="1372" t="s">
        <v>1622</v>
      </c>
      <c r="F14" s="1372"/>
      <c r="G14" s="1196">
        <f>'Model outputs - Aggregate level'!F52</f>
        <v>0</v>
      </c>
    </row>
    <row r="15" spans="1:7">
      <c r="A15" s="1371"/>
      <c r="B15" s="1197" t="s">
        <v>1643</v>
      </c>
      <c r="C15" s="1372" t="s">
        <v>1644</v>
      </c>
      <c r="D15" s="1372" t="s">
        <v>141</v>
      </c>
      <c r="E15" s="1372" t="s">
        <v>1622</v>
      </c>
      <c r="F15" s="1372"/>
      <c r="G15" s="1196">
        <f>'Model outputs - Aggregate level'!F53</f>
        <v>0</v>
      </c>
    </row>
    <row r="16" spans="1:7">
      <c r="A16" s="1371"/>
      <c r="B16" s="1197" t="s">
        <v>1645</v>
      </c>
      <c r="C16" s="1372" t="s">
        <v>1646</v>
      </c>
      <c r="D16" s="1372" t="s">
        <v>141</v>
      </c>
      <c r="E16" s="1372" t="s">
        <v>1622</v>
      </c>
      <c r="F16" s="1372"/>
      <c r="G16" s="1196">
        <f>'Model outputs - Aggregate level'!F54</f>
        <v>0</v>
      </c>
    </row>
    <row r="17" spans="1:7">
      <c r="A17" s="1371"/>
      <c r="B17" s="1197" t="s">
        <v>1647</v>
      </c>
      <c r="C17" s="1372" t="s">
        <v>1648</v>
      </c>
      <c r="D17" s="1372" t="s">
        <v>141</v>
      </c>
      <c r="E17" s="1372" t="s">
        <v>1622</v>
      </c>
      <c r="F17" s="1372"/>
      <c r="G17" s="1196">
        <f>'Model outputs - Aggregate level'!F55</f>
        <v>0</v>
      </c>
    </row>
    <row r="18" spans="1:7">
      <c r="A18" s="1371"/>
      <c r="B18" s="1197" t="s">
        <v>1649</v>
      </c>
      <c r="C18" s="1372" t="s">
        <v>1650</v>
      </c>
      <c r="D18" s="1372" t="s">
        <v>141</v>
      </c>
      <c r="E18" s="1372" t="s">
        <v>1622</v>
      </c>
      <c r="F18" s="1372"/>
      <c r="G18" s="1196">
        <f>'Model outputs - Aggregate level'!F58</f>
        <v>0</v>
      </c>
    </row>
    <row r="19" spans="1:7">
      <c r="A19" s="1371"/>
      <c r="B19" s="1197" t="s">
        <v>1651</v>
      </c>
      <c r="C19" s="1372" t="s">
        <v>1652</v>
      </c>
      <c r="D19" s="1372" t="s">
        <v>141</v>
      </c>
      <c r="E19" s="1372" t="s">
        <v>1622</v>
      </c>
      <c r="F19" s="1372"/>
      <c r="G19" s="1196">
        <f>'Model outputs - Aggregate level'!F59</f>
        <v>0</v>
      </c>
    </row>
    <row r="20" spans="1:7">
      <c r="A20" s="1371"/>
      <c r="B20" s="1197" t="s">
        <v>1653</v>
      </c>
      <c r="C20" s="1372" t="s">
        <v>1654</v>
      </c>
      <c r="D20" s="1372" t="s">
        <v>141</v>
      </c>
      <c r="E20" s="1372" t="s">
        <v>1622</v>
      </c>
      <c r="F20" s="1372"/>
      <c r="G20" s="1196">
        <f>'Model outputs - Aggregate level'!F60</f>
        <v>0</v>
      </c>
    </row>
    <row r="21" spans="1:7">
      <c r="A21" s="1371"/>
      <c r="B21" s="1197" t="s">
        <v>1655</v>
      </c>
      <c r="C21" s="1372" t="s">
        <v>1656</v>
      </c>
      <c r="D21" s="1372" t="s">
        <v>141</v>
      </c>
      <c r="E21" s="1372" t="s">
        <v>1622</v>
      </c>
      <c r="F21" s="1372"/>
      <c r="G21" s="1196">
        <f>'Model outputs - Aggregate level'!F61</f>
        <v>0</v>
      </c>
    </row>
    <row r="22" spans="1:7">
      <c r="A22" s="1371"/>
      <c r="B22" s="1197" t="s">
        <v>1657</v>
      </c>
      <c r="C22" s="1372" t="s">
        <v>1658</v>
      </c>
      <c r="D22" s="1372" t="s">
        <v>141</v>
      </c>
      <c r="E22" s="1372" t="s">
        <v>1622</v>
      </c>
      <c r="F22" s="1372"/>
      <c r="G22" s="1196">
        <f>'Model outputs - Aggregate level'!F62</f>
        <v>0</v>
      </c>
    </row>
    <row r="23" spans="1:7">
      <c r="A23" s="1372"/>
      <c r="B23" s="1197" t="s">
        <v>1659</v>
      </c>
      <c r="C23" s="1372" t="s">
        <v>1660</v>
      </c>
      <c r="D23" s="1372" t="s">
        <v>141</v>
      </c>
      <c r="E23" s="1372" t="s">
        <v>1622</v>
      </c>
      <c r="F23" s="1372"/>
      <c r="G23" s="1196">
        <f>'Model outputs - Aggregate level'!F63</f>
        <v>0</v>
      </c>
    </row>
    <row r="24" spans="1:7">
      <c r="A24" s="1372"/>
      <c r="B24" s="1197" t="s">
        <v>1661</v>
      </c>
      <c r="C24" s="1372" t="s">
        <v>1662</v>
      </c>
      <c r="D24" s="1372" t="s">
        <v>141</v>
      </c>
      <c r="E24" s="1372" t="s">
        <v>1622</v>
      </c>
      <c r="F24" s="1372"/>
      <c r="G24" s="1196">
        <f>'Model outputs - Aggregate level'!F64</f>
        <v>0</v>
      </c>
    </row>
    <row r="25" spans="1:7">
      <c r="A25" s="1372"/>
      <c r="B25" s="1197" t="s">
        <v>1663</v>
      </c>
      <c r="C25" s="1372" t="s">
        <v>1664</v>
      </c>
      <c r="D25" s="1372" t="s">
        <v>991</v>
      </c>
      <c r="E25" s="1372" t="s">
        <v>1622</v>
      </c>
      <c r="F25" s="1372" t="str">
        <f>'Model outputs - interventions'!F7</f>
        <v>PR19NES_COM03</v>
      </c>
      <c r="G25" s="1196">
        <f>'Model outputs - interventions'!K7</f>
        <v>2.91</v>
      </c>
    </row>
    <row r="26" spans="1:7">
      <c r="A26" s="1372"/>
      <c r="B26" s="1197" t="s">
        <v>1665</v>
      </c>
      <c r="C26" s="1372" t="s">
        <v>1666</v>
      </c>
      <c r="D26" s="1372" t="s">
        <v>991</v>
      </c>
      <c r="E26" s="1372" t="s">
        <v>1622</v>
      </c>
      <c r="F26" s="1372" t="str">
        <f>'Model outputs - interventions'!F8</f>
        <v>PR19NES_COM04</v>
      </c>
      <c r="G26" s="1196">
        <f>'Model outputs - interventions'!K8</f>
        <v>4.5486111111111109E-3</v>
      </c>
    </row>
    <row r="27" spans="1:7">
      <c r="A27" s="1372"/>
      <c r="B27" s="1197" t="s">
        <v>1667</v>
      </c>
      <c r="C27" s="1372" t="s">
        <v>1668</v>
      </c>
      <c r="D27" s="1372" t="s">
        <v>991</v>
      </c>
      <c r="E27" s="1372" t="s">
        <v>1622</v>
      </c>
      <c r="F27" s="1372" t="str">
        <f>'Model outputs - interventions'!F9</f>
        <v>PR19NES_COM05</v>
      </c>
      <c r="G27" s="1196">
        <f>'Model outputs - interventions'!K9</f>
        <v>9.0504451038575731</v>
      </c>
    </row>
    <row r="28" spans="1:7">
      <c r="A28" s="1372"/>
      <c r="B28" s="1197" t="s">
        <v>1669</v>
      </c>
      <c r="C28" s="1372" t="s">
        <v>1670</v>
      </c>
      <c r="D28" s="1372" t="s">
        <v>991</v>
      </c>
      <c r="E28" s="1372" t="s">
        <v>1622</v>
      </c>
      <c r="F28" s="1372" t="str">
        <f>'Model outputs - interventions'!F10</f>
        <v>PR19NES_COM06</v>
      </c>
      <c r="G28" s="1196">
        <f>'Model outputs - interventions'!K10</f>
        <v>12.576687116564422</v>
      </c>
    </row>
    <row r="29" spans="1:7">
      <c r="A29" s="1372"/>
      <c r="B29" s="1197" t="s">
        <v>1671</v>
      </c>
      <c r="C29" s="1372" t="s">
        <v>1672</v>
      </c>
      <c r="D29" s="1372" t="s">
        <v>991</v>
      </c>
      <c r="E29" s="1372" t="s">
        <v>1622</v>
      </c>
      <c r="F29" s="1372" t="str">
        <f>'Model outputs - interventions'!F11</f>
        <v>PR19NES_COM07</v>
      </c>
      <c r="G29" s="1196">
        <f>'Model outputs - interventions'!K11</f>
        <v>-2.4568393094289709</v>
      </c>
    </row>
    <row r="30" spans="1:7">
      <c r="A30" s="1372"/>
      <c r="B30" s="1197" t="s">
        <v>1673</v>
      </c>
      <c r="C30" s="1372" t="s">
        <v>1674</v>
      </c>
      <c r="D30" s="1372" t="s">
        <v>991</v>
      </c>
      <c r="E30" s="1372" t="s">
        <v>1622</v>
      </c>
      <c r="F30" s="1372" t="str">
        <f>'Model outputs - interventions'!F12</f>
        <v/>
      </c>
      <c r="G30" s="1196" t="str">
        <f>'Model outputs - interventions'!K12</f>
        <v/>
      </c>
    </row>
    <row r="31" spans="1:7">
      <c r="A31" s="1372"/>
      <c r="B31" s="1197" t="s">
        <v>1675</v>
      </c>
      <c r="C31" s="1372" t="s">
        <v>1676</v>
      </c>
      <c r="D31" s="1372" t="s">
        <v>991</v>
      </c>
      <c r="E31" s="1372" t="s">
        <v>1622</v>
      </c>
      <c r="F31" s="1372" t="str">
        <f>'Model outputs - interventions'!F13</f>
        <v>PR19NES_COM12</v>
      </c>
      <c r="G31" s="1196">
        <f>'Model outputs - interventions'!K13</f>
        <v>127.9</v>
      </c>
    </row>
    <row r="32" spans="1:7">
      <c r="A32" s="1372"/>
      <c r="B32" s="1197" t="s">
        <v>1677</v>
      </c>
      <c r="C32" s="1372" t="s">
        <v>1678</v>
      </c>
      <c r="D32" s="1372" t="s">
        <v>991</v>
      </c>
      <c r="E32" s="1372" t="s">
        <v>1622</v>
      </c>
      <c r="F32" s="1372" t="str">
        <f>'Model outputs - interventions'!F14</f>
        <v>PR19NES_COM13</v>
      </c>
      <c r="G32" s="1196">
        <f>'Model outputs - interventions'!K14</f>
        <v>3</v>
      </c>
    </row>
    <row r="33" spans="1:7">
      <c r="A33" s="1372"/>
      <c r="B33" s="1197" t="s">
        <v>1679</v>
      </c>
      <c r="C33" s="1372" t="s">
        <v>1680</v>
      </c>
      <c r="D33" s="1372" t="s">
        <v>991</v>
      </c>
      <c r="E33" s="1372" t="s">
        <v>1622</v>
      </c>
      <c r="F33" s="1372" t="str">
        <f>'Model outputs - interventions'!F15</f>
        <v>PR19NES_BES04</v>
      </c>
      <c r="G33" s="1196">
        <f>'Model outputs - interventions'!K15</f>
        <v>7.2</v>
      </c>
    </row>
    <row r="34" spans="1:7">
      <c r="A34" s="1372"/>
      <c r="B34" s="1197" t="s">
        <v>1681</v>
      </c>
      <c r="C34" s="1372" t="s">
        <v>1682</v>
      </c>
      <c r="D34" s="1372" t="s">
        <v>991</v>
      </c>
      <c r="E34" s="1372" t="s">
        <v>1622</v>
      </c>
      <c r="F34" s="1372" t="str">
        <f>'Model outputs - interventions'!F16</f>
        <v>PR19NES_BES08</v>
      </c>
      <c r="G34" s="1196">
        <f>'Model outputs - interventions'!K16</f>
        <v>3.5</v>
      </c>
    </row>
    <row r="35" spans="1:7">
      <c r="A35" s="1372"/>
      <c r="B35" s="1197" t="s">
        <v>1683</v>
      </c>
      <c r="C35" s="1372" t="s">
        <v>1684</v>
      </c>
      <c r="D35" s="1372" t="s">
        <v>991</v>
      </c>
      <c r="E35" s="1372" t="s">
        <v>1622</v>
      </c>
      <c r="F35" s="1372" t="str">
        <f>'Model outputs - interventions'!F17</f>
        <v>PR19NES_BES09</v>
      </c>
      <c r="G35" s="1196">
        <f>'Model outputs - interventions'!K17</f>
        <v>150</v>
      </c>
    </row>
    <row r="36" spans="1:7">
      <c r="A36" s="1372"/>
      <c r="B36" s="1197" t="s">
        <v>1685</v>
      </c>
      <c r="C36" s="1372" t="s">
        <v>1686</v>
      </c>
      <c r="D36" s="1372" t="s">
        <v>991</v>
      </c>
      <c r="E36" s="1372" t="s">
        <v>1622</v>
      </c>
      <c r="F36" s="1372" t="str">
        <f>'Model outputs - interventions'!F18</f>
        <v>PR19NES_BES11</v>
      </c>
      <c r="G36" s="1196">
        <f>'Model outputs - interventions'!K18</f>
        <v>7.42</v>
      </c>
    </row>
    <row r="37" spans="1:7">
      <c r="A37" s="1372"/>
      <c r="B37" s="1197" t="s">
        <v>1687</v>
      </c>
      <c r="C37" s="1372" t="s">
        <v>1688</v>
      </c>
      <c r="D37" s="1372" t="s">
        <v>991</v>
      </c>
      <c r="E37" s="1372" t="s">
        <v>1622</v>
      </c>
      <c r="F37" s="1372" t="str">
        <f>'Model outputs - interventions'!F19</f>
        <v>PR19NES_BES12</v>
      </c>
      <c r="G37" s="1196">
        <f>'Model outputs - interventions'!K19</f>
        <v>1.74</v>
      </c>
    </row>
    <row r="38" spans="1:7">
      <c r="A38" s="1372"/>
      <c r="B38" s="1197" t="s">
        <v>1689</v>
      </c>
      <c r="C38" s="1372" t="s">
        <v>1690</v>
      </c>
      <c r="D38" s="1372" t="s">
        <v>991</v>
      </c>
      <c r="E38" s="1372" t="s">
        <v>1622</v>
      </c>
      <c r="F38" s="1372" t="str">
        <f>'Model outputs - interventions'!F20</f>
        <v>PR19NES_BES13</v>
      </c>
      <c r="G38" s="1196">
        <f>'Model outputs - interventions'!K20</f>
        <v>14.071</v>
      </c>
    </row>
    <row r="39" spans="1:7">
      <c r="A39" s="1372"/>
      <c r="B39" s="1197" t="s">
        <v>1691</v>
      </c>
      <c r="C39" s="1372" t="s">
        <v>1692</v>
      </c>
      <c r="D39" s="1372" t="s">
        <v>991</v>
      </c>
      <c r="E39" s="1372" t="s">
        <v>1622</v>
      </c>
      <c r="F39" s="1372" t="str">
        <f>'Model outputs - interventions'!F21</f>
        <v>PR19NES_BES14</v>
      </c>
      <c r="G39" s="1196">
        <f>'Model outputs - interventions'!K21</f>
        <v>96.6</v>
      </c>
    </row>
    <row r="40" spans="1:7">
      <c r="A40" s="1372"/>
      <c r="B40" s="1197" t="s">
        <v>1693</v>
      </c>
      <c r="C40" s="1372" t="s">
        <v>1694</v>
      </c>
      <c r="D40" s="1372" t="s">
        <v>991</v>
      </c>
      <c r="E40" s="1372" t="s">
        <v>1622</v>
      </c>
      <c r="F40" s="1372" t="str">
        <f>'Model outputs - interventions'!F22</f>
        <v>PR19NES_BES18</v>
      </c>
      <c r="G40" s="1196">
        <f>'Model outputs - interventions'!K22</f>
        <v>0</v>
      </c>
    </row>
    <row r="41" spans="1:7">
      <c r="A41" s="1372"/>
      <c r="B41" s="1197" t="s">
        <v>1695</v>
      </c>
      <c r="C41" s="1372" t="s">
        <v>1696</v>
      </c>
      <c r="D41" s="1372" t="s">
        <v>991</v>
      </c>
      <c r="E41" s="1372" t="s">
        <v>1622</v>
      </c>
      <c r="F41" s="1372" t="str">
        <f>'Model outputs - interventions'!F23</f>
        <v>PR19NES_BES20</v>
      </c>
      <c r="G41" s="1196">
        <f>'Model outputs - interventions'!K23</f>
        <v>58</v>
      </c>
    </row>
    <row r="42" spans="1:7">
      <c r="A42" s="1372"/>
      <c r="B42" s="1197" t="s">
        <v>1697</v>
      </c>
      <c r="C42" s="1372" t="s">
        <v>1698</v>
      </c>
      <c r="D42" s="1372" t="s">
        <v>991</v>
      </c>
      <c r="E42" s="1372" t="s">
        <v>1622</v>
      </c>
      <c r="F42" s="1372" t="str">
        <f>'Model outputs - interventions'!F24</f>
        <v>PR19NES_BES21</v>
      </c>
      <c r="G42" s="1196">
        <f>'Model outputs - interventions'!K24</f>
        <v>15627</v>
      </c>
    </row>
    <row r="43" spans="1:7">
      <c r="A43" s="1372"/>
      <c r="B43" s="1197" t="s">
        <v>1699</v>
      </c>
      <c r="C43" s="1372" t="s">
        <v>1700</v>
      </c>
      <c r="D43" s="1372" t="s">
        <v>991</v>
      </c>
      <c r="E43" s="1372" t="s">
        <v>1622</v>
      </c>
      <c r="F43" s="1372" t="str">
        <f>'Model outputs - interventions'!F25</f>
        <v>PR19NES_BES24</v>
      </c>
      <c r="G43" s="1196">
        <f>'Model outputs - interventions'!K25</f>
        <v>59.3</v>
      </c>
    </row>
    <row r="44" spans="1:7">
      <c r="A44" s="1372"/>
      <c r="B44" s="1197" t="s">
        <v>1701</v>
      </c>
      <c r="C44" s="1372" t="s">
        <v>1702</v>
      </c>
      <c r="D44" s="1372" t="s">
        <v>991</v>
      </c>
      <c r="E44" s="1372" t="s">
        <v>1622</v>
      </c>
      <c r="F44" s="1372" t="str">
        <f>'Model outputs - interventions'!F26</f>
        <v>PR19NES_BES25</v>
      </c>
      <c r="G44" s="1196">
        <f>'Model outputs - interventions'!K26</f>
        <v>59.9</v>
      </c>
    </row>
    <row r="45" spans="1:7">
      <c r="A45" s="1372"/>
      <c r="B45" s="1197" t="s">
        <v>1703</v>
      </c>
      <c r="C45" s="1372" t="s">
        <v>1704</v>
      </c>
      <c r="D45" s="1372" t="s">
        <v>991</v>
      </c>
      <c r="E45" s="1372" t="s">
        <v>1622</v>
      </c>
      <c r="F45" s="1372" t="str">
        <f>'Model outputs - interventions'!F27</f>
        <v>PR19NES_BES26</v>
      </c>
      <c r="G45" s="1196">
        <f>'Model outputs - interventions'!K27</f>
        <v>47.4</v>
      </c>
    </row>
    <row r="46" spans="1:7">
      <c r="A46" s="1372"/>
      <c r="B46" s="1197" t="s">
        <v>1705</v>
      </c>
      <c r="C46" s="1372" t="s">
        <v>1706</v>
      </c>
      <c r="D46" s="1372" t="s">
        <v>991</v>
      </c>
      <c r="E46" s="1372" t="s">
        <v>1622</v>
      </c>
      <c r="F46" s="1372" t="str">
        <f>'Model outputs - interventions'!F28</f>
        <v>PR19NES_BES28</v>
      </c>
      <c r="G46" s="1196">
        <f>'Model outputs - interventions'!K28</f>
        <v>73.400000000000006</v>
      </c>
    </row>
    <row r="47" spans="1:7">
      <c r="A47" s="1372"/>
      <c r="B47" s="1197" t="s">
        <v>1707</v>
      </c>
      <c r="C47" s="1372" t="s">
        <v>1708</v>
      </c>
      <c r="D47" s="1372" t="s">
        <v>991</v>
      </c>
      <c r="E47" s="1372" t="s">
        <v>1622</v>
      </c>
      <c r="F47" s="1372" t="str">
        <f>'Model outputs - interventions'!F29</f>
        <v/>
      </c>
      <c r="G47" s="1196" t="str">
        <f>'Model outputs - interventions'!K29</f>
        <v/>
      </c>
    </row>
    <row r="48" spans="1:7">
      <c r="A48" s="1372"/>
      <c r="B48" s="1197" t="s">
        <v>1709</v>
      </c>
      <c r="C48" s="1372" t="s">
        <v>1710</v>
      </c>
      <c r="D48" s="1372" t="s">
        <v>991</v>
      </c>
      <c r="E48" s="1372" t="s">
        <v>1622</v>
      </c>
      <c r="F48" s="1372" t="str">
        <f>'Model outputs - interventions'!F30</f>
        <v/>
      </c>
      <c r="G48" s="1196" t="str">
        <f>'Model outputs - interventions'!K30</f>
        <v/>
      </c>
    </row>
    <row r="49" spans="1:7">
      <c r="A49" s="1372"/>
      <c r="B49" s="1197" t="s">
        <v>1711</v>
      </c>
      <c r="C49" s="1372" t="s">
        <v>1712</v>
      </c>
      <c r="D49" s="1372" t="s">
        <v>991</v>
      </c>
      <c r="E49" s="1372" t="s">
        <v>1622</v>
      </c>
      <c r="F49" s="1372" t="str">
        <f>'Model outputs - interventions'!F31</f>
        <v/>
      </c>
      <c r="G49" s="1196" t="str">
        <f>'Model outputs - interventions'!K31</f>
        <v/>
      </c>
    </row>
    <row r="50" spans="1:7">
      <c r="A50" s="1372"/>
      <c r="B50" s="1197" t="s">
        <v>1713</v>
      </c>
      <c r="C50" s="1372" t="s">
        <v>1714</v>
      </c>
      <c r="D50" s="1372" t="s">
        <v>991</v>
      </c>
      <c r="E50" s="1372" t="s">
        <v>1622</v>
      </c>
      <c r="F50" s="1372" t="str">
        <f>'Model outputs - interventions'!F32</f>
        <v/>
      </c>
      <c r="G50" s="1196" t="str">
        <f>'Model outputs - interventions'!K32</f>
        <v/>
      </c>
    </row>
    <row r="51" spans="1:7">
      <c r="A51" s="1372"/>
      <c r="B51" s="1197" t="s">
        <v>1715</v>
      </c>
      <c r="C51" s="1372" t="s">
        <v>1716</v>
      </c>
      <c r="D51" s="1372" t="s">
        <v>991</v>
      </c>
      <c r="E51" s="1372" t="s">
        <v>1622</v>
      </c>
      <c r="F51" s="1372" t="str">
        <f>'Model outputs - interventions'!F33</f>
        <v/>
      </c>
      <c r="G51" s="1196" t="str">
        <f>'Model outputs - interventions'!K33</f>
        <v/>
      </c>
    </row>
    <row r="52" spans="1:7">
      <c r="A52" s="1372"/>
      <c r="B52" s="1197" t="s">
        <v>1717</v>
      </c>
      <c r="C52" s="1372" t="s">
        <v>1718</v>
      </c>
      <c r="D52" s="1372" t="s">
        <v>991</v>
      </c>
      <c r="E52" s="1372" t="s">
        <v>1622</v>
      </c>
      <c r="F52" s="1372" t="str">
        <f>'Model outputs - interventions'!F34</f>
        <v/>
      </c>
      <c r="G52" s="1196" t="str">
        <f>'Model outputs - interventions'!K34</f>
        <v/>
      </c>
    </row>
    <row r="53" spans="1:7">
      <c r="A53" s="1372"/>
      <c r="B53" s="1197" t="s">
        <v>1719</v>
      </c>
      <c r="C53" s="1372" t="s">
        <v>1720</v>
      </c>
      <c r="D53" s="1372" t="s">
        <v>991</v>
      </c>
      <c r="E53" s="1372" t="s">
        <v>1622</v>
      </c>
      <c r="F53" s="1372" t="str">
        <f>'Model outputs - interventions'!F35</f>
        <v>PR19NES_COM08</v>
      </c>
      <c r="G53" s="1196">
        <f>'Model outputs - interventions'!K35</f>
        <v>1.23</v>
      </c>
    </row>
    <row r="54" spans="1:7">
      <c r="A54" s="1372"/>
      <c r="B54" s="1197" t="s">
        <v>1721</v>
      </c>
      <c r="C54" s="1372" t="s">
        <v>1722</v>
      </c>
      <c r="D54" s="1372" t="s">
        <v>991</v>
      </c>
      <c r="E54" s="1372" t="s">
        <v>1622</v>
      </c>
      <c r="F54" s="1372" t="str">
        <f>'Model outputs - interventions'!F36</f>
        <v>PR19NES_COM09</v>
      </c>
      <c r="G54" s="1196">
        <f>'Model outputs - interventions'!K36</f>
        <v>22.31</v>
      </c>
    </row>
    <row r="55" spans="1:7">
      <c r="A55" s="1372"/>
      <c r="B55" s="1197" t="s">
        <v>1723</v>
      </c>
      <c r="C55" s="1372" t="s">
        <v>1724</v>
      </c>
      <c r="D55" s="1372" t="s">
        <v>991</v>
      </c>
      <c r="E55" s="1372" t="s">
        <v>1622</v>
      </c>
      <c r="F55" s="1372" t="str">
        <f>'Model outputs - interventions'!F37</f>
        <v>PR19NES_COM14</v>
      </c>
      <c r="G55" s="1196">
        <f>'Model outputs - interventions'!K37</f>
        <v>8.7899999999999991</v>
      </c>
    </row>
    <row r="56" spans="1:7">
      <c r="A56" s="1372"/>
      <c r="B56" s="1197" t="s">
        <v>1725</v>
      </c>
      <c r="C56" s="1372" t="s">
        <v>1726</v>
      </c>
      <c r="D56" s="1372" t="s">
        <v>991</v>
      </c>
      <c r="E56" s="1372" t="s">
        <v>1622</v>
      </c>
      <c r="F56" s="1372" t="str">
        <f>'Model outputs - interventions'!F38</f>
        <v>PR19NES_COM15</v>
      </c>
      <c r="G56" s="1196">
        <f>'Model outputs - interventions'!K38</f>
        <v>98.52</v>
      </c>
    </row>
    <row r="57" spans="1:7">
      <c r="A57" s="1372"/>
      <c r="B57" s="1197" t="s">
        <v>1727</v>
      </c>
      <c r="C57" s="1372" t="s">
        <v>1728</v>
      </c>
      <c r="D57" s="1372" t="s">
        <v>991</v>
      </c>
      <c r="E57" s="1372" t="s">
        <v>1622</v>
      </c>
      <c r="F57" s="1372" t="str">
        <f>'Model outputs - interventions'!F39</f>
        <v>PR19NES_BES15</v>
      </c>
      <c r="G57" s="1196">
        <f>'Model outputs - interventions'!K39</f>
        <v>10500</v>
      </c>
    </row>
    <row r="58" spans="1:7">
      <c r="A58" s="1372"/>
      <c r="B58" s="1197" t="s">
        <v>1729</v>
      </c>
      <c r="C58" s="1372" t="s">
        <v>1730</v>
      </c>
      <c r="D58" s="1372" t="s">
        <v>991</v>
      </c>
      <c r="E58" s="1372" t="s">
        <v>1622</v>
      </c>
      <c r="F58" s="1372" t="str">
        <f>'Model outputs - interventions'!F40</f>
        <v>PR19NES_BES16</v>
      </c>
      <c r="G58" s="1196">
        <f>'Model outputs - interventions'!K40</f>
        <v>2824</v>
      </c>
    </row>
    <row r="59" spans="1:7">
      <c r="A59" s="1372"/>
      <c r="B59" s="1197" t="s">
        <v>1731</v>
      </c>
      <c r="C59" s="1372" t="s">
        <v>1732</v>
      </c>
      <c r="D59" s="1372" t="s">
        <v>991</v>
      </c>
      <c r="E59" s="1372" t="s">
        <v>1622</v>
      </c>
      <c r="F59" s="1372" t="str">
        <f>'Model outputs - interventions'!F41</f>
        <v>PR19NES_BES17</v>
      </c>
      <c r="G59" s="1196">
        <f>'Model outputs - interventions'!K41</f>
        <v>27</v>
      </c>
    </row>
    <row r="60" spans="1:7">
      <c r="A60" s="1372"/>
      <c r="B60" s="1197" t="s">
        <v>1733</v>
      </c>
      <c r="C60" s="1372" t="s">
        <v>1734</v>
      </c>
      <c r="D60" s="1372" t="s">
        <v>991</v>
      </c>
      <c r="E60" s="1372" t="s">
        <v>1622</v>
      </c>
      <c r="F60" s="1372" t="str">
        <f>'Model outputs - interventions'!F42</f>
        <v>PR19NES_BES19</v>
      </c>
      <c r="G60" s="1196">
        <f>'Model outputs - interventions'!K42</f>
        <v>94.1</v>
      </c>
    </row>
    <row r="61" spans="1:7">
      <c r="A61" s="1372"/>
      <c r="B61" s="1197" t="s">
        <v>1735</v>
      </c>
      <c r="C61" s="1372" t="s">
        <v>1736</v>
      </c>
      <c r="D61" s="1372" t="s">
        <v>991</v>
      </c>
      <c r="E61" s="1372" t="s">
        <v>1622</v>
      </c>
      <c r="F61" s="1372" t="str">
        <f>'Model outputs - interventions'!F43</f>
        <v>PR19NES_BES27</v>
      </c>
      <c r="G61" s="1196">
        <f>'Model outputs - interventions'!K43</f>
        <v>132</v>
      </c>
    </row>
    <row r="62" spans="1:7">
      <c r="A62" s="1372"/>
      <c r="B62" s="1197" t="s">
        <v>1737</v>
      </c>
      <c r="C62" s="1372" t="s">
        <v>1738</v>
      </c>
      <c r="D62" s="1372" t="s">
        <v>991</v>
      </c>
      <c r="E62" s="1372" t="s">
        <v>1622</v>
      </c>
      <c r="F62" s="1372" t="str">
        <f>'Model outputs - interventions'!F44</f>
        <v>PR19NES_BES31</v>
      </c>
      <c r="G62" s="1196">
        <f>'Model outputs - interventions'!K44</f>
        <v>535</v>
      </c>
    </row>
    <row r="63" spans="1:7">
      <c r="A63" s="1372"/>
      <c r="B63" s="1197" t="s">
        <v>1739</v>
      </c>
      <c r="C63" s="1372" t="s">
        <v>1740</v>
      </c>
      <c r="D63" s="1372" t="s">
        <v>991</v>
      </c>
      <c r="E63" s="1372" t="s">
        <v>1622</v>
      </c>
      <c r="F63" s="1372" t="str">
        <f>'Model outputs - interventions'!F45</f>
        <v>PR19NES_BES29</v>
      </c>
      <c r="G63" s="1196">
        <f>'Model outputs - interventions'!K45</f>
        <v>0</v>
      </c>
    </row>
    <row r="64" spans="1:7">
      <c r="A64" s="1372"/>
      <c r="B64" s="1197" t="s">
        <v>1741</v>
      </c>
      <c r="C64" s="1372" t="s">
        <v>1742</v>
      </c>
      <c r="D64" s="1372" t="s">
        <v>991</v>
      </c>
      <c r="E64" s="1372" t="s">
        <v>1622</v>
      </c>
      <c r="F64" s="1372" t="str">
        <f>'Model outputs - interventions'!F46</f>
        <v/>
      </c>
      <c r="G64" s="1196" t="str">
        <f>'Model outputs - interventions'!K46</f>
        <v/>
      </c>
    </row>
    <row r="65" spans="1:7">
      <c r="A65" s="1372"/>
      <c r="B65" s="1197" t="s">
        <v>1743</v>
      </c>
      <c r="C65" s="1372" t="s">
        <v>1744</v>
      </c>
      <c r="D65" s="1372" t="s">
        <v>991</v>
      </c>
      <c r="E65" s="1372" t="s">
        <v>1622</v>
      </c>
      <c r="F65" s="1372" t="str">
        <f>'Model outputs - interventions'!F47</f>
        <v/>
      </c>
      <c r="G65" s="1196" t="str">
        <f>'Model outputs - interventions'!K47</f>
        <v/>
      </c>
    </row>
    <row r="66" spans="1:7">
      <c r="A66" s="1372"/>
      <c r="B66" s="1197" t="s">
        <v>1745</v>
      </c>
      <c r="C66" s="1372" t="s">
        <v>1746</v>
      </c>
      <c r="D66" s="1372" t="s">
        <v>991</v>
      </c>
      <c r="E66" s="1372" t="s">
        <v>1622</v>
      </c>
      <c r="F66" s="1372" t="str">
        <f>'Model outputs - interventions'!F48</f>
        <v/>
      </c>
      <c r="G66" s="1196" t="str">
        <f>'Model outputs - interventions'!K48</f>
        <v/>
      </c>
    </row>
    <row r="67" spans="1:7">
      <c r="A67" s="1372"/>
      <c r="B67" s="1197" t="s">
        <v>1747</v>
      </c>
      <c r="C67" s="1372" t="s">
        <v>1748</v>
      </c>
      <c r="D67" s="1372" t="s">
        <v>991</v>
      </c>
      <c r="E67" s="1372" t="s">
        <v>1622</v>
      </c>
      <c r="F67" s="1372" t="str">
        <f>'Model outputs - interventions'!F49</f>
        <v/>
      </c>
      <c r="G67" s="1196" t="str">
        <f>'Model outputs - interventions'!K49</f>
        <v/>
      </c>
    </row>
    <row r="68" spans="1:7">
      <c r="A68" s="1372"/>
      <c r="B68" s="1197" t="s">
        <v>1749</v>
      </c>
      <c r="C68" s="1372" t="s">
        <v>1750</v>
      </c>
      <c r="D68" s="1372" t="s">
        <v>991</v>
      </c>
      <c r="E68" s="1372" t="s">
        <v>1622</v>
      </c>
      <c r="F68" s="1372" t="str">
        <f>'Model outputs - interventions'!F50</f>
        <v/>
      </c>
      <c r="G68" s="1196" t="str">
        <f>'Model outputs - interventions'!K50</f>
        <v/>
      </c>
    </row>
    <row r="69" spans="1:7">
      <c r="A69" s="1372"/>
      <c r="B69" s="1197" t="s">
        <v>1751</v>
      </c>
      <c r="C69" s="1372" t="s">
        <v>1752</v>
      </c>
      <c r="D69" s="1372" t="s">
        <v>991</v>
      </c>
      <c r="E69" s="1372" t="s">
        <v>1622</v>
      </c>
      <c r="F69" s="1372" t="str">
        <f>'Model outputs - interventions'!F51</f>
        <v/>
      </c>
      <c r="G69" s="1196" t="str">
        <f>'Model outputs - interventions'!K51</f>
        <v/>
      </c>
    </row>
    <row r="70" spans="1:7">
      <c r="A70" s="1372"/>
      <c r="B70" s="1197" t="s">
        <v>1753</v>
      </c>
      <c r="C70" s="1372" t="s">
        <v>1754</v>
      </c>
      <c r="D70" s="1372" t="s">
        <v>991</v>
      </c>
      <c r="E70" s="1372" t="s">
        <v>1622</v>
      </c>
      <c r="F70" s="1372" t="str">
        <f>'Model outputs - interventions'!F52</f>
        <v/>
      </c>
      <c r="G70" s="1196" t="str">
        <f>'Model outputs - interventions'!K52</f>
        <v/>
      </c>
    </row>
    <row r="71" spans="1:7">
      <c r="A71" s="1372"/>
      <c r="B71" s="1197" t="s">
        <v>1755</v>
      </c>
      <c r="C71" s="1372" t="s">
        <v>1756</v>
      </c>
      <c r="D71" s="1372" t="s">
        <v>141</v>
      </c>
      <c r="E71" s="1372" t="s">
        <v>1622</v>
      </c>
      <c r="F71" s="1372" t="str">
        <f>'Model outputs - interventions'!F7</f>
        <v>PR19NES_COM03</v>
      </c>
      <c r="G71" s="1196">
        <f>'Model outputs - interventions'!P7</f>
        <v>-1.9655400000000001</v>
      </c>
    </row>
    <row r="72" spans="1:7">
      <c r="A72" s="1372"/>
      <c r="B72" s="1197" t="s">
        <v>1757</v>
      </c>
      <c r="C72" s="1372" t="s">
        <v>1758</v>
      </c>
      <c r="D72" s="1372" t="s">
        <v>141</v>
      </c>
      <c r="E72" s="1372" t="s">
        <v>1622</v>
      </c>
      <c r="F72" s="1372" t="str">
        <f>'Model outputs - interventions'!F8</f>
        <v>PR19NES_COM04</v>
      </c>
      <c r="G72" s="1196">
        <f>'Model outputs - interventions'!P8</f>
        <v>-1.1993333333333325</v>
      </c>
    </row>
    <row r="73" spans="1:7">
      <c r="A73" s="1372"/>
      <c r="B73" s="1197" t="s">
        <v>1759</v>
      </c>
      <c r="C73" s="1372" t="s">
        <v>1760</v>
      </c>
      <c r="D73" s="1372" t="s">
        <v>141</v>
      </c>
      <c r="E73" s="1372" t="s">
        <v>1622</v>
      </c>
      <c r="F73" s="1372" t="str">
        <f>'Model outputs - interventions'!F9</f>
        <v>PR19NES_COM05</v>
      </c>
      <c r="G73" s="1196">
        <f>'Model outputs - interventions'!P9</f>
        <v>1.4999999999999999E-2</v>
      </c>
    </row>
    <row r="74" spans="1:7">
      <c r="A74" s="1372"/>
      <c r="B74" s="1197" t="s">
        <v>1761</v>
      </c>
      <c r="C74" s="1372" t="s">
        <v>1762</v>
      </c>
      <c r="D74" s="1372" t="s">
        <v>141</v>
      </c>
      <c r="E74" s="1372" t="s">
        <v>1622</v>
      </c>
      <c r="F74" s="1372" t="str">
        <f>'Model outputs - interventions'!F10</f>
        <v>PR19NES_COM06</v>
      </c>
      <c r="G74" s="1196">
        <f>'Model outputs - interventions'!P10</f>
        <v>0.21559999999999999</v>
      </c>
    </row>
    <row r="75" spans="1:7">
      <c r="A75" s="1372"/>
      <c r="B75" s="1197" t="s">
        <v>1763</v>
      </c>
      <c r="C75" s="1372" t="s">
        <v>1764</v>
      </c>
      <c r="D75" s="1372" t="s">
        <v>141</v>
      </c>
      <c r="E75" s="1372" t="s">
        <v>1622</v>
      </c>
      <c r="F75" s="1372" t="str">
        <f>'Model outputs - interventions'!F11</f>
        <v>PR19NES_COM07</v>
      </c>
      <c r="G75" s="1196">
        <f>'Model outputs - interventions'!P11</f>
        <v>0</v>
      </c>
    </row>
    <row r="76" spans="1:7">
      <c r="A76" s="1372"/>
      <c r="B76" s="1197" t="s">
        <v>1765</v>
      </c>
      <c r="C76" s="1372" t="s">
        <v>1766</v>
      </c>
      <c r="D76" s="1372" t="s">
        <v>141</v>
      </c>
      <c r="E76" s="1372" t="s">
        <v>1622</v>
      </c>
      <c r="F76" s="1372" t="str">
        <f>'Model outputs - interventions'!F12</f>
        <v/>
      </c>
      <c r="G76" s="1196">
        <f>'Model outputs - interventions'!P12</f>
        <v>0</v>
      </c>
    </row>
    <row r="77" spans="1:7">
      <c r="A77" s="1372"/>
      <c r="B77" s="1197" t="s">
        <v>1767</v>
      </c>
      <c r="C77" s="1372" t="s">
        <v>1768</v>
      </c>
      <c r="D77" s="1372" t="s">
        <v>141</v>
      </c>
      <c r="E77" s="1372" t="s">
        <v>1622</v>
      </c>
      <c r="F77" s="1372" t="str">
        <f>'Model outputs - interventions'!F13</f>
        <v>PR19NES_COM12</v>
      </c>
      <c r="G77" s="1196">
        <f>'Model outputs - interventions'!P13</f>
        <v>0</v>
      </c>
    </row>
    <row r="78" spans="1:7">
      <c r="A78" s="1372"/>
      <c r="B78" s="1197" t="s">
        <v>1769</v>
      </c>
      <c r="C78" s="1372" t="s">
        <v>1770</v>
      </c>
      <c r="D78" s="1372" t="s">
        <v>141</v>
      </c>
      <c r="E78" s="1372" t="s">
        <v>1622</v>
      </c>
      <c r="F78" s="1372" t="str">
        <f>'Model outputs - interventions'!F14</f>
        <v>PR19NES_COM13</v>
      </c>
      <c r="G78" s="1196">
        <f>'Model outputs - interventions'!P14</f>
        <v>0</v>
      </c>
    </row>
    <row r="79" spans="1:7">
      <c r="A79" s="1372"/>
      <c r="B79" s="1197" t="s">
        <v>1771</v>
      </c>
      <c r="C79" s="1372" t="s">
        <v>1772</v>
      </c>
      <c r="D79" s="1372" t="s">
        <v>141</v>
      </c>
      <c r="E79" s="1372" t="s">
        <v>1622</v>
      </c>
      <c r="F79" s="1372" t="str">
        <f>'Model outputs - interventions'!F15</f>
        <v>PR19NES_BES04</v>
      </c>
      <c r="G79" s="1196">
        <f>'Model outputs - interventions'!P15</f>
        <v>-1.3696000000000002</v>
      </c>
    </row>
    <row r="80" spans="1:7">
      <c r="A80" s="1372"/>
      <c r="B80" s="1197" t="s">
        <v>1773</v>
      </c>
      <c r="C80" s="1372" t="s">
        <v>1774</v>
      </c>
      <c r="D80" s="1372" t="s">
        <v>141</v>
      </c>
      <c r="E80" s="1372" t="s">
        <v>1622</v>
      </c>
      <c r="F80" s="1372" t="str">
        <f>'Model outputs - interventions'!F16</f>
        <v>PR19NES_BES08</v>
      </c>
      <c r="G80" s="1196">
        <f>'Model outputs - interventions'!P16</f>
        <v>1.3325</v>
      </c>
    </row>
    <row r="81" spans="1:7">
      <c r="A81" s="1372"/>
      <c r="B81" s="1197" t="s">
        <v>1775</v>
      </c>
      <c r="C81" s="1372" t="s">
        <v>1776</v>
      </c>
      <c r="D81" s="1372" t="s">
        <v>141</v>
      </c>
      <c r="E81" s="1372" t="s">
        <v>1622</v>
      </c>
      <c r="F81" s="1372" t="str">
        <f>'Model outputs - interventions'!F17</f>
        <v>PR19NES_BES09</v>
      </c>
      <c r="G81" s="1196">
        <f>'Model outputs - interventions'!P17</f>
        <v>0.91025</v>
      </c>
    </row>
    <row r="82" spans="1:7">
      <c r="A82" s="1372"/>
      <c r="B82" s="1197" t="s">
        <v>1777</v>
      </c>
      <c r="C82" s="1372" t="s">
        <v>1778</v>
      </c>
      <c r="D82" s="1372" t="s">
        <v>141</v>
      </c>
      <c r="E82" s="1372" t="s">
        <v>1622</v>
      </c>
      <c r="F82" s="1372" t="str">
        <f>'Model outputs - interventions'!F18</f>
        <v>PR19NES_BES11</v>
      </c>
      <c r="G82" s="1196">
        <f>'Model outputs - interventions'!P18</f>
        <v>0.69362000000000079</v>
      </c>
    </row>
    <row r="83" spans="1:7">
      <c r="A83" s="1372"/>
      <c r="B83" s="1197" t="s">
        <v>1779</v>
      </c>
      <c r="C83" s="1372" t="s">
        <v>1780</v>
      </c>
      <c r="D83" s="1372" t="s">
        <v>141</v>
      </c>
      <c r="E83" s="1372" t="s">
        <v>1622</v>
      </c>
      <c r="F83" s="1372" t="str">
        <f>'Model outputs - interventions'!F19</f>
        <v>PR19NES_BES12</v>
      </c>
      <c r="G83" s="1196">
        <f>'Model outputs - interventions'!P19</f>
        <v>0.26340000000000002</v>
      </c>
    </row>
    <row r="84" spans="1:7">
      <c r="A84" s="1372"/>
      <c r="B84" s="1197" t="s">
        <v>1781</v>
      </c>
      <c r="C84" s="1372" t="s">
        <v>1782</v>
      </c>
      <c r="D84" s="1372" t="s">
        <v>141</v>
      </c>
      <c r="E84" s="1372" t="s">
        <v>1622</v>
      </c>
      <c r="F84" s="1372" t="str">
        <f>'Model outputs - interventions'!F20</f>
        <v>PR19NES_BES13</v>
      </c>
      <c r="G84" s="1196">
        <f>'Model outputs - interventions'!P20</f>
        <v>0</v>
      </c>
    </row>
    <row r="85" spans="1:7">
      <c r="A85" s="1372"/>
      <c r="B85" s="1197" t="s">
        <v>1783</v>
      </c>
      <c r="C85" s="1372" t="s">
        <v>1784</v>
      </c>
      <c r="D85" s="1372" t="s">
        <v>141</v>
      </c>
      <c r="E85" s="1372" t="s">
        <v>1622</v>
      </c>
      <c r="F85" s="1372" t="str">
        <f>'Model outputs - interventions'!F21</f>
        <v>PR19NES_BES14</v>
      </c>
      <c r="G85" s="1196">
        <f>'Model outputs - interventions'!P21</f>
        <v>-0.39400000000000002</v>
      </c>
    </row>
    <row r="86" spans="1:7">
      <c r="A86" s="1372"/>
      <c r="B86" s="1197" t="s">
        <v>1785</v>
      </c>
      <c r="C86" s="1372" t="s">
        <v>1786</v>
      </c>
      <c r="D86" s="1372" t="s">
        <v>141</v>
      </c>
      <c r="E86" s="1372" t="s">
        <v>1622</v>
      </c>
      <c r="F86" s="1372" t="str">
        <f>'Model outputs - interventions'!F22</f>
        <v>PR19NES_BES18</v>
      </c>
      <c r="G86" s="1196">
        <f>'Model outputs - interventions'!P22</f>
        <v>0</v>
      </c>
    </row>
    <row r="87" spans="1:7">
      <c r="A87" s="1372"/>
      <c r="B87" s="1197" t="s">
        <v>1787</v>
      </c>
      <c r="C87" s="1372" t="s">
        <v>1788</v>
      </c>
      <c r="D87" s="1372" t="s">
        <v>141</v>
      </c>
      <c r="E87" s="1372" t="s">
        <v>1622</v>
      </c>
      <c r="F87" s="1372" t="str">
        <f>'Model outputs - interventions'!F23</f>
        <v>PR19NES_BES20</v>
      </c>
      <c r="G87" s="1196">
        <f>'Model outputs - interventions'!P23</f>
        <v>0.36864000000000002</v>
      </c>
    </row>
    <row r="88" spans="1:7">
      <c r="A88" s="1372"/>
      <c r="B88" s="1197" t="s">
        <v>1789</v>
      </c>
      <c r="C88" s="1372" t="s">
        <v>1790</v>
      </c>
      <c r="D88" s="1372" t="s">
        <v>141</v>
      </c>
      <c r="E88" s="1372" t="s">
        <v>1622</v>
      </c>
      <c r="F88" s="1372" t="str">
        <f>'Model outputs - interventions'!F24</f>
        <v>PR19NES_BES21</v>
      </c>
      <c r="G88" s="1196">
        <f>'Model outputs - interventions'!P24</f>
        <v>1.4372819999999999</v>
      </c>
    </row>
    <row r="89" spans="1:7">
      <c r="A89" s="1372"/>
      <c r="B89" s="1197" t="s">
        <v>1791</v>
      </c>
      <c r="C89" s="1372" t="s">
        <v>1792</v>
      </c>
      <c r="D89" s="1372" t="s">
        <v>141</v>
      </c>
      <c r="E89" s="1372" t="s">
        <v>1622</v>
      </c>
      <c r="F89" s="1372" t="str">
        <f>'Model outputs - interventions'!F25</f>
        <v>PR19NES_BES24</v>
      </c>
      <c r="G89" s="1196">
        <f>'Model outputs - interventions'!P25</f>
        <v>0</v>
      </c>
    </row>
    <row r="90" spans="1:7">
      <c r="A90" s="1372"/>
      <c r="B90" s="1197" t="s">
        <v>1793</v>
      </c>
      <c r="C90" s="1372" t="s">
        <v>1794</v>
      </c>
      <c r="D90" s="1372" t="s">
        <v>141</v>
      </c>
      <c r="E90" s="1372" t="s">
        <v>1622</v>
      </c>
      <c r="F90" s="1372" t="str">
        <f>'Model outputs - interventions'!F26</f>
        <v>PR19NES_BES25</v>
      </c>
      <c r="G90" s="1196">
        <f>'Model outputs - interventions'!P26</f>
        <v>0</v>
      </c>
    </row>
    <row r="91" spans="1:7">
      <c r="A91" s="1372"/>
      <c r="B91" s="1197" t="s">
        <v>1795</v>
      </c>
      <c r="C91" s="1372" t="s">
        <v>1796</v>
      </c>
      <c r="D91" s="1372" t="s">
        <v>141</v>
      </c>
      <c r="E91" s="1372" t="s">
        <v>1622</v>
      </c>
      <c r="F91" s="1372" t="str">
        <f>'Model outputs - interventions'!F27</f>
        <v>PR19NES_BES26</v>
      </c>
      <c r="G91" s="1196">
        <f>'Model outputs - interventions'!P27</f>
        <v>0</v>
      </c>
    </row>
    <row r="92" spans="1:7">
      <c r="A92" s="1372"/>
      <c r="B92" s="1197" t="s">
        <v>1797</v>
      </c>
      <c r="C92" s="1372" t="s">
        <v>1798</v>
      </c>
      <c r="D92" s="1372" t="s">
        <v>141</v>
      </c>
      <c r="E92" s="1372" t="s">
        <v>1622</v>
      </c>
      <c r="F92" s="1372" t="str">
        <f>'Model outputs - interventions'!F28</f>
        <v>PR19NES_BES28</v>
      </c>
      <c r="G92" s="1196">
        <f>'Model outputs - interventions'!P28</f>
        <v>0</v>
      </c>
    </row>
    <row r="93" spans="1:7">
      <c r="A93" s="1372"/>
      <c r="B93" s="1197" t="s">
        <v>1799</v>
      </c>
      <c r="C93" s="1372" t="s">
        <v>1800</v>
      </c>
      <c r="D93" s="1372" t="s">
        <v>141</v>
      </c>
      <c r="E93" s="1372" t="s">
        <v>1622</v>
      </c>
      <c r="F93" s="1372" t="str">
        <f>'Model outputs - interventions'!F29</f>
        <v/>
      </c>
      <c r="G93" s="1196">
        <f>'Model outputs - interventions'!P29</f>
        <v>0</v>
      </c>
    </row>
    <row r="94" spans="1:7">
      <c r="A94" s="1372"/>
      <c r="B94" s="1197" t="s">
        <v>1801</v>
      </c>
      <c r="C94" s="1372" t="s">
        <v>1802</v>
      </c>
      <c r="D94" s="1372" t="s">
        <v>141</v>
      </c>
      <c r="E94" s="1372" t="s">
        <v>1622</v>
      </c>
      <c r="F94" s="1372" t="str">
        <f>'Model outputs - interventions'!F30</f>
        <v/>
      </c>
      <c r="G94" s="1196">
        <f>'Model outputs - interventions'!P30</f>
        <v>0</v>
      </c>
    </row>
    <row r="95" spans="1:7">
      <c r="A95" s="1372"/>
      <c r="B95" s="1197" t="s">
        <v>1803</v>
      </c>
      <c r="C95" s="1372" t="s">
        <v>1804</v>
      </c>
      <c r="D95" s="1372" t="s">
        <v>141</v>
      </c>
      <c r="E95" s="1372" t="s">
        <v>1622</v>
      </c>
      <c r="F95" s="1372" t="str">
        <f>'Model outputs - interventions'!F31</f>
        <v/>
      </c>
      <c r="G95" s="1196">
        <f>'Model outputs - interventions'!P31</f>
        <v>0</v>
      </c>
    </row>
    <row r="96" spans="1:7">
      <c r="A96" s="1372"/>
      <c r="B96" s="1197" t="s">
        <v>1805</v>
      </c>
      <c r="C96" s="1372" t="s">
        <v>1806</v>
      </c>
      <c r="D96" s="1372" t="s">
        <v>141</v>
      </c>
      <c r="E96" s="1372" t="s">
        <v>1622</v>
      </c>
      <c r="F96" s="1372" t="str">
        <f>'Model outputs - interventions'!F32</f>
        <v/>
      </c>
      <c r="G96" s="1196">
        <f>'Model outputs - interventions'!P32</f>
        <v>0</v>
      </c>
    </row>
    <row r="97" spans="1:7">
      <c r="A97" s="1372"/>
      <c r="B97" s="1197" t="s">
        <v>1807</v>
      </c>
      <c r="C97" s="1372" t="s">
        <v>1808</v>
      </c>
      <c r="D97" s="1372" t="s">
        <v>141</v>
      </c>
      <c r="E97" s="1372" t="s">
        <v>1622</v>
      </c>
      <c r="F97" s="1372" t="str">
        <f>'Model outputs - interventions'!F33</f>
        <v/>
      </c>
      <c r="G97" s="1196">
        <f>'Model outputs - interventions'!P33</f>
        <v>0</v>
      </c>
    </row>
    <row r="98" spans="1:7">
      <c r="A98" s="1372"/>
      <c r="B98" s="1197" t="s">
        <v>1809</v>
      </c>
      <c r="C98" s="1372" t="s">
        <v>1810</v>
      </c>
      <c r="D98" s="1372" t="s">
        <v>141</v>
      </c>
      <c r="E98" s="1372" t="s">
        <v>1622</v>
      </c>
      <c r="F98" s="1372" t="str">
        <f>'Model outputs - interventions'!F34</f>
        <v/>
      </c>
      <c r="G98" s="1196">
        <f>'Model outputs - interventions'!P34</f>
        <v>0</v>
      </c>
    </row>
    <row r="99" spans="1:7">
      <c r="A99" s="1372"/>
      <c r="B99" s="1197" t="s">
        <v>1811</v>
      </c>
      <c r="C99" s="1372" t="s">
        <v>1812</v>
      </c>
      <c r="D99" s="1372" t="s">
        <v>141</v>
      </c>
      <c r="E99" s="1372" t="s">
        <v>1622</v>
      </c>
      <c r="F99" s="1372" t="str">
        <f>'Model outputs - interventions'!F35</f>
        <v>PR19NES_COM08</v>
      </c>
      <c r="G99" s="1196">
        <f>'Model outputs - interventions'!P35</f>
        <v>0.52982999999999991</v>
      </c>
    </row>
    <row r="100" spans="1:7">
      <c r="A100" s="1372"/>
      <c r="B100" s="1197" t="s">
        <v>1813</v>
      </c>
      <c r="C100" s="1372" t="s">
        <v>1814</v>
      </c>
      <c r="D100" s="1372" t="s">
        <v>141</v>
      </c>
      <c r="E100" s="1372" t="s">
        <v>1622</v>
      </c>
      <c r="F100" s="1372" t="str">
        <f>'Model outputs - interventions'!F36</f>
        <v>PR19NES_COM09</v>
      </c>
      <c r="G100" s="1196">
        <f>'Model outputs - interventions'!P36</f>
        <v>2.6909999999999955E-2</v>
      </c>
    </row>
    <row r="101" spans="1:7">
      <c r="A101" s="1372"/>
      <c r="B101" s="1197" t="s">
        <v>1815</v>
      </c>
      <c r="C101" s="1372" t="s">
        <v>1816</v>
      </c>
      <c r="D101" s="1372" t="s">
        <v>141</v>
      </c>
      <c r="E101" s="1372" t="s">
        <v>1622</v>
      </c>
      <c r="F101" s="1372" t="str">
        <f>'Model outputs - interventions'!F37</f>
        <v>PR19NES_COM14</v>
      </c>
      <c r="G101" s="1196">
        <f>'Model outputs - interventions'!P37</f>
        <v>0</v>
      </c>
    </row>
    <row r="102" spans="1:7">
      <c r="A102" s="1372"/>
      <c r="B102" s="1197" t="s">
        <v>1817</v>
      </c>
      <c r="C102" s="1372" t="s">
        <v>1818</v>
      </c>
      <c r="D102" s="1372" t="s">
        <v>141</v>
      </c>
      <c r="E102" s="1372" t="s">
        <v>1622</v>
      </c>
      <c r="F102" s="1372" t="str">
        <f>'Model outputs - interventions'!F38</f>
        <v>PR19NES_COM15</v>
      </c>
      <c r="G102" s="1196">
        <f>'Model outputs - interventions'!P38</f>
        <v>-0.28656000000000237</v>
      </c>
    </row>
    <row r="103" spans="1:7">
      <c r="A103" s="1372"/>
      <c r="B103" s="1197" t="s">
        <v>1819</v>
      </c>
      <c r="C103" s="1372" t="s">
        <v>1820</v>
      </c>
      <c r="D103" s="1372" t="s">
        <v>141</v>
      </c>
      <c r="E103" s="1372" t="s">
        <v>1622</v>
      </c>
      <c r="F103" s="1372" t="str">
        <f>'Model outputs - interventions'!F39</f>
        <v>PR19NES_BES15</v>
      </c>
      <c r="G103" s="1196">
        <f>'Model outputs - interventions'!P39</f>
        <v>0.35099999999999998</v>
      </c>
    </row>
    <row r="104" spans="1:7">
      <c r="A104" s="1372"/>
      <c r="B104" s="1197" t="s">
        <v>1821</v>
      </c>
      <c r="C104" s="1372" t="s">
        <v>1822</v>
      </c>
      <c r="D104" s="1372" t="s">
        <v>141</v>
      </c>
      <c r="E104" s="1372" t="s">
        <v>1622</v>
      </c>
      <c r="F104" s="1372" t="str">
        <f>'Model outputs - interventions'!F40</f>
        <v>PR19NES_BES16</v>
      </c>
      <c r="G104" s="1196">
        <f>'Model outputs - interventions'!P40</f>
        <v>1.7239999999999998E-2</v>
      </c>
    </row>
    <row r="105" spans="1:7">
      <c r="A105" s="1372"/>
      <c r="B105" s="1197" t="s">
        <v>1823</v>
      </c>
      <c r="C105" s="1372" t="s">
        <v>1824</v>
      </c>
      <c r="D105" s="1372" t="s">
        <v>141</v>
      </c>
      <c r="E105" s="1372" t="s">
        <v>1622</v>
      </c>
      <c r="F105" s="1372" t="str">
        <f>'Model outputs - interventions'!F41</f>
        <v>PR19NES_BES17</v>
      </c>
      <c r="G105" s="1196">
        <f>'Model outputs - interventions'!P41</f>
        <v>0.66120000000000001</v>
      </c>
    </row>
    <row r="106" spans="1:7">
      <c r="A106" s="1372"/>
      <c r="B106" s="1197" t="s">
        <v>1825</v>
      </c>
      <c r="C106" s="1372" t="s">
        <v>1826</v>
      </c>
      <c r="D106" s="1372" t="s">
        <v>141</v>
      </c>
      <c r="E106" s="1372" t="s">
        <v>1622</v>
      </c>
      <c r="F106" s="1372" t="str">
        <f>'Model outputs - interventions'!F42</f>
        <v>PR19NES_BES19</v>
      </c>
      <c r="G106" s="1196">
        <f>'Model outputs - interventions'!P42</f>
        <v>-0.73704000000000203</v>
      </c>
    </row>
    <row r="107" spans="1:7">
      <c r="A107" s="1372"/>
      <c r="B107" s="1197" t="s">
        <v>1827</v>
      </c>
      <c r="C107" s="1372" t="s">
        <v>1828</v>
      </c>
      <c r="D107" s="1372" t="s">
        <v>141</v>
      </c>
      <c r="E107" s="1372" t="s">
        <v>1622</v>
      </c>
      <c r="F107" s="1372" t="str">
        <f>'Model outputs - interventions'!F43</f>
        <v>PR19NES_BES27</v>
      </c>
      <c r="G107" s="1196">
        <f>'Model outputs - interventions'!P43</f>
        <v>0</v>
      </c>
    </row>
    <row r="108" spans="1:7">
      <c r="A108" s="1372"/>
      <c r="B108" s="1197" t="s">
        <v>1829</v>
      </c>
      <c r="C108" s="1372" t="s">
        <v>1830</v>
      </c>
      <c r="D108" s="1372" t="s">
        <v>141</v>
      </c>
      <c r="E108" s="1372" t="s">
        <v>1622</v>
      </c>
      <c r="F108" s="1372" t="str">
        <f>'Model outputs - interventions'!F44</f>
        <v>PR19NES_BES31</v>
      </c>
      <c r="G108" s="1196">
        <f>'Model outputs - interventions'!P44</f>
        <v>0</v>
      </c>
    </row>
    <row r="109" spans="1:7">
      <c r="A109" s="1372"/>
      <c r="B109" s="1197" t="s">
        <v>1831</v>
      </c>
      <c r="C109" s="1372" t="s">
        <v>1832</v>
      </c>
      <c r="D109" s="1372" t="s">
        <v>141</v>
      </c>
      <c r="E109" s="1372" t="s">
        <v>1622</v>
      </c>
      <c r="F109" s="1372" t="str">
        <f>'Model outputs - interventions'!F45</f>
        <v>PR19NES_BES29</v>
      </c>
      <c r="G109" s="1196">
        <f>'Model outputs - interventions'!P45</f>
        <v>0</v>
      </c>
    </row>
    <row r="110" spans="1:7">
      <c r="A110" s="1372"/>
      <c r="B110" s="1197" t="s">
        <v>1833</v>
      </c>
      <c r="C110" s="1372" t="s">
        <v>1834</v>
      </c>
      <c r="D110" s="1372" t="s">
        <v>141</v>
      </c>
      <c r="E110" s="1372" t="s">
        <v>1622</v>
      </c>
      <c r="F110" s="1372" t="str">
        <f>'Model outputs - interventions'!F46</f>
        <v/>
      </c>
      <c r="G110" s="1196">
        <f>'Model outputs - interventions'!P46</f>
        <v>0</v>
      </c>
    </row>
    <row r="111" spans="1:7">
      <c r="A111" s="1372"/>
      <c r="B111" s="1197" t="s">
        <v>1835</v>
      </c>
      <c r="C111" s="1372" t="s">
        <v>1836</v>
      </c>
      <c r="D111" s="1372" t="s">
        <v>141</v>
      </c>
      <c r="E111" s="1372" t="s">
        <v>1622</v>
      </c>
      <c r="F111" s="1372" t="str">
        <f>'Model outputs - interventions'!F47</f>
        <v/>
      </c>
      <c r="G111" s="1196">
        <f>'Model outputs - interventions'!P47</f>
        <v>0</v>
      </c>
    </row>
    <row r="112" spans="1:7">
      <c r="A112" s="1372"/>
      <c r="B112" s="1197" t="s">
        <v>1837</v>
      </c>
      <c r="C112" s="1372" t="s">
        <v>1838</v>
      </c>
      <c r="D112" s="1372" t="s">
        <v>141</v>
      </c>
      <c r="E112" s="1372" t="s">
        <v>1622</v>
      </c>
      <c r="F112" s="1372" t="str">
        <f>'Model outputs - interventions'!F48</f>
        <v/>
      </c>
      <c r="G112" s="1196">
        <f>'Model outputs - interventions'!P48</f>
        <v>0</v>
      </c>
    </row>
    <row r="113" spans="1:7">
      <c r="A113" s="1372"/>
      <c r="B113" s="1197" t="s">
        <v>1839</v>
      </c>
      <c r="C113" s="1372" t="s">
        <v>1840</v>
      </c>
      <c r="D113" s="1372" t="s">
        <v>141</v>
      </c>
      <c r="E113" s="1372" t="s">
        <v>1622</v>
      </c>
      <c r="F113" s="1372" t="str">
        <f>'Model outputs - interventions'!F49</f>
        <v/>
      </c>
      <c r="G113" s="1196">
        <f>'Model outputs - interventions'!P49</f>
        <v>0</v>
      </c>
    </row>
    <row r="114" spans="1:7">
      <c r="A114" s="1372"/>
      <c r="B114" s="1197" t="s">
        <v>1841</v>
      </c>
      <c r="C114" s="1372" t="s">
        <v>1842</v>
      </c>
      <c r="D114" s="1372" t="s">
        <v>141</v>
      </c>
      <c r="E114" s="1372" t="s">
        <v>1622</v>
      </c>
      <c r="F114" s="1372" t="str">
        <f>'Model outputs - interventions'!F50</f>
        <v/>
      </c>
      <c r="G114" s="1196">
        <f>'Model outputs - interventions'!P50</f>
        <v>0</v>
      </c>
    </row>
    <row r="115" spans="1:7">
      <c r="A115" s="1372"/>
      <c r="B115" s="1197" t="s">
        <v>1843</v>
      </c>
      <c r="C115" s="1372" t="s">
        <v>1844</v>
      </c>
      <c r="D115" s="1372" t="s">
        <v>141</v>
      </c>
      <c r="E115" s="1372" t="s">
        <v>1622</v>
      </c>
      <c r="F115" s="1372" t="str">
        <f>'Model outputs - interventions'!F51</f>
        <v/>
      </c>
      <c r="G115" s="1196">
        <f>'Model outputs - interventions'!P51</f>
        <v>0</v>
      </c>
    </row>
    <row r="116" spans="1:7">
      <c r="A116" s="1372"/>
      <c r="B116" s="1197" t="s">
        <v>1845</v>
      </c>
      <c r="C116" s="1372" t="s">
        <v>1846</v>
      </c>
      <c r="D116" s="1372" t="s">
        <v>141</v>
      </c>
      <c r="E116" s="1372" t="s">
        <v>1622</v>
      </c>
      <c r="F116" s="1372" t="str">
        <f>'Model outputs - interventions'!F52</f>
        <v/>
      </c>
      <c r="G116" s="1196">
        <f>'Model outputs - interventions'!P52</f>
        <v>0</v>
      </c>
    </row>
    <row r="117" spans="1:7">
      <c r="A117" s="1372"/>
      <c r="B117" s="1372" t="s">
        <v>1847</v>
      </c>
      <c r="C117" s="1372" t="s">
        <v>1848</v>
      </c>
      <c r="D117" s="1372" t="s">
        <v>1052</v>
      </c>
      <c r="E117" s="1372" t="s">
        <v>1622</v>
      </c>
      <c r="F117" s="1372"/>
      <c r="G117" s="1374" t="str">
        <f ca="1">CONCATENATE("[…]", TEXT(NOW(),"dd/mm/yyy hh:mm:ss"))</f>
        <v>[…]06/11/2023 14:56:45</v>
      </c>
    </row>
    <row r="118" spans="1:7">
      <c r="A118" s="1372"/>
      <c r="B118" s="1372" t="s">
        <v>1849</v>
      </c>
      <c r="C118" s="1372" t="s">
        <v>1850</v>
      </c>
      <c r="D118" s="1372" t="s">
        <v>1052</v>
      </c>
      <c r="E118" s="1372" t="s">
        <v>1622</v>
      </c>
      <c r="F118" s="1372"/>
      <c r="G118" s="1506"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192">
        <v>7</v>
      </c>
      <c r="J3" s="2193"/>
      <c r="K3" s="2193"/>
      <c r="L3" s="2193"/>
      <c r="M3" s="2193"/>
      <c r="N3" s="2193"/>
      <c r="O3" s="2193"/>
      <c r="P3" s="2193"/>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2145">
        <v>105</v>
      </c>
      <c r="DD3" s="703">
        <v>106</v>
      </c>
      <c r="DE3" s="695">
        <v>107</v>
      </c>
    </row>
    <row r="4" spans="1:109" s="53" customFormat="1" ht="15" customHeight="1">
      <c r="A4" s="704"/>
      <c r="B4" s="705"/>
      <c r="C4" s="706" t="s">
        <v>1852</v>
      </c>
      <c r="D4" s="707" t="s">
        <v>961</v>
      </c>
      <c r="E4" s="708" t="s">
        <v>961</v>
      </c>
      <c r="F4" s="2142" t="s">
        <v>961</v>
      </c>
      <c r="G4" s="709" t="s">
        <v>961</v>
      </c>
      <c r="H4" s="710" t="s">
        <v>961</v>
      </c>
      <c r="I4" s="2198"/>
      <c r="J4" s="2199"/>
      <c r="K4" s="2199"/>
      <c r="L4" s="2199"/>
      <c r="M4" s="2199"/>
      <c r="N4" s="2199"/>
      <c r="O4" s="2199"/>
      <c r="P4" s="2199"/>
      <c r="Q4" s="2143"/>
      <c r="R4" s="2141" t="s">
        <v>961</v>
      </c>
      <c r="S4" s="708" t="s">
        <v>961</v>
      </c>
      <c r="T4" s="2143" t="s">
        <v>961</v>
      </c>
      <c r="U4" s="708" t="s">
        <v>961</v>
      </c>
      <c r="V4" s="708" t="s">
        <v>961</v>
      </c>
      <c r="W4" s="708" t="s">
        <v>961</v>
      </c>
      <c r="X4" s="711" t="s">
        <v>961</v>
      </c>
      <c r="Y4" s="712" t="s">
        <v>961</v>
      </c>
      <c r="Z4" s="709" t="s">
        <v>961</v>
      </c>
      <c r="AA4" s="2142" t="s">
        <v>961</v>
      </c>
      <c r="AB4" s="2142" t="s">
        <v>961</v>
      </c>
      <c r="AC4" s="2142" t="s">
        <v>961</v>
      </c>
      <c r="AD4" s="2142" t="s">
        <v>961</v>
      </c>
      <c r="AE4" s="2142" t="s">
        <v>961</v>
      </c>
      <c r="AF4" s="706" t="s">
        <v>973</v>
      </c>
      <c r="AG4" s="2195" t="s">
        <v>973</v>
      </c>
      <c r="AH4" s="2196"/>
      <c r="AI4" s="2196"/>
      <c r="AJ4" s="2196"/>
      <c r="AK4" s="2196"/>
      <c r="AL4" s="2196"/>
      <c r="AM4" s="2196"/>
      <c r="AN4" s="2196"/>
      <c r="AO4" s="2196"/>
      <c r="AP4" s="2197"/>
      <c r="AQ4" s="2195" t="s">
        <v>973</v>
      </c>
      <c r="AR4" s="2196"/>
      <c r="AS4" s="2196"/>
      <c r="AT4" s="2196"/>
      <c r="AU4" s="2197"/>
      <c r="AV4" s="2195" t="s">
        <v>973</v>
      </c>
      <c r="AW4" s="2196"/>
      <c r="AX4" s="2196"/>
      <c r="AY4" s="2196"/>
      <c r="AZ4" s="2196"/>
      <c r="BA4" s="2196"/>
      <c r="BB4" s="2196"/>
      <c r="BC4" s="2196"/>
      <c r="BD4" s="2196"/>
      <c r="BE4" s="2196"/>
      <c r="BF4" s="2196"/>
      <c r="BG4" s="2196"/>
      <c r="BH4" s="2196"/>
      <c r="BI4" s="2196"/>
      <c r="BJ4" s="2196"/>
      <c r="BK4" s="2197"/>
      <c r="BL4" s="2195" t="s">
        <v>973</v>
      </c>
      <c r="BM4" s="2196"/>
      <c r="BN4" s="2196"/>
      <c r="BO4" s="2196"/>
      <c r="BP4" s="2197"/>
      <c r="BQ4" s="2195" t="s">
        <v>973</v>
      </c>
      <c r="BR4" s="2196"/>
      <c r="BS4" s="2196"/>
      <c r="BT4" s="2196"/>
      <c r="BU4" s="2197"/>
      <c r="BV4" s="2195" t="s">
        <v>973</v>
      </c>
      <c r="BW4" s="2196"/>
      <c r="BX4" s="2196"/>
      <c r="BY4" s="2196"/>
      <c r="BZ4" s="2197"/>
      <c r="CA4" s="2195" t="s">
        <v>973</v>
      </c>
      <c r="CB4" s="2196"/>
      <c r="CC4" s="2196"/>
      <c r="CD4" s="2196"/>
      <c r="CE4" s="2197"/>
      <c r="CF4" s="2195" t="s">
        <v>973</v>
      </c>
      <c r="CG4" s="2196"/>
      <c r="CH4" s="2196"/>
      <c r="CI4" s="2196"/>
      <c r="CJ4" s="2197"/>
      <c r="CK4" s="2195" t="s">
        <v>973</v>
      </c>
      <c r="CL4" s="2196"/>
      <c r="CM4" s="2196"/>
      <c r="CN4" s="2196"/>
      <c r="CO4" s="2197"/>
      <c r="CP4" s="2195" t="s">
        <v>973</v>
      </c>
      <c r="CQ4" s="2196"/>
      <c r="CR4" s="2196"/>
      <c r="CS4" s="2196"/>
      <c r="CT4" s="2197"/>
      <c r="CU4" s="713" t="s">
        <v>973</v>
      </c>
      <c r="CV4" s="714" t="s">
        <v>973</v>
      </c>
      <c r="CW4" s="715" t="s">
        <v>973</v>
      </c>
      <c r="CX4" s="716" t="s">
        <v>973</v>
      </c>
      <c r="CY4" s="713" t="s">
        <v>973</v>
      </c>
      <c r="CZ4" s="714" t="s">
        <v>973</v>
      </c>
      <c r="DA4" s="715" t="s">
        <v>973</v>
      </c>
      <c r="DB4" s="716" t="s">
        <v>973</v>
      </c>
      <c r="DC4" s="2142" t="s">
        <v>973</v>
      </c>
      <c r="DD4" s="717" t="s">
        <v>973</v>
      </c>
      <c r="DE4" s="706" t="s">
        <v>973</v>
      </c>
    </row>
    <row r="5" spans="1:109" s="54" customFormat="1" ht="40.9" customHeight="1">
      <c r="A5" s="718"/>
      <c r="B5" s="705"/>
      <c r="C5" s="719"/>
      <c r="D5" s="720"/>
      <c r="E5" s="721"/>
      <c r="F5" s="722"/>
      <c r="G5" s="723"/>
      <c r="H5" s="724"/>
      <c r="I5" s="2203" t="s">
        <v>1853</v>
      </c>
      <c r="J5" s="2204"/>
      <c r="K5" s="2204"/>
      <c r="L5" s="2204"/>
      <c r="M5" s="2204"/>
      <c r="N5" s="2204"/>
      <c r="O5" s="2204"/>
      <c r="P5" s="2204"/>
      <c r="Q5" s="2205"/>
      <c r="R5" s="725"/>
      <c r="S5" s="721"/>
      <c r="T5" s="726"/>
      <c r="U5" s="727"/>
      <c r="V5" s="727"/>
      <c r="W5" s="728"/>
      <c r="X5" s="729"/>
      <c r="Y5" s="2143"/>
      <c r="Z5" s="723"/>
      <c r="AA5" s="2140"/>
      <c r="AB5" s="730"/>
      <c r="AC5" s="730"/>
      <c r="AD5" s="730"/>
      <c r="AE5" s="730"/>
      <c r="AF5" s="731"/>
      <c r="AG5" s="2203" t="s">
        <v>1854</v>
      </c>
      <c r="AH5" s="2204"/>
      <c r="AI5" s="2204"/>
      <c r="AJ5" s="2204"/>
      <c r="AK5" s="2204"/>
      <c r="AL5" s="2204"/>
      <c r="AM5" s="2204"/>
      <c r="AN5" s="2204"/>
      <c r="AO5" s="2204"/>
      <c r="AP5" s="2206"/>
      <c r="AQ5" s="2203" t="s">
        <v>1855</v>
      </c>
      <c r="AR5" s="2204"/>
      <c r="AS5" s="2204"/>
      <c r="AT5" s="2204"/>
      <c r="AU5" s="2206"/>
      <c r="AV5" s="2203" t="s">
        <v>1856</v>
      </c>
      <c r="AW5" s="2204"/>
      <c r="AX5" s="2204"/>
      <c r="AY5" s="2204"/>
      <c r="AZ5" s="2204"/>
      <c r="BA5" s="2204"/>
      <c r="BB5" s="2204"/>
      <c r="BC5" s="2204"/>
      <c r="BD5" s="2204"/>
      <c r="BE5" s="2204"/>
      <c r="BF5" s="2204"/>
      <c r="BG5" s="2204"/>
      <c r="BH5" s="2204"/>
      <c r="BI5" s="2204"/>
      <c r="BJ5" s="2204"/>
      <c r="BK5" s="2206"/>
      <c r="BL5" s="2207" t="s">
        <v>956</v>
      </c>
      <c r="BM5" s="2208"/>
      <c r="BN5" s="2208"/>
      <c r="BO5" s="2208"/>
      <c r="BP5" s="2209"/>
      <c r="BQ5" s="2210" t="s">
        <v>1857</v>
      </c>
      <c r="BR5" s="2211"/>
      <c r="BS5" s="2211"/>
      <c r="BT5" s="2211"/>
      <c r="BU5" s="2212"/>
      <c r="BV5" s="2210" t="s">
        <v>1858</v>
      </c>
      <c r="BW5" s="2211"/>
      <c r="BX5" s="2211"/>
      <c r="BY5" s="2211"/>
      <c r="BZ5" s="2212"/>
      <c r="CA5" s="2210" t="s">
        <v>1859</v>
      </c>
      <c r="CB5" s="2211"/>
      <c r="CC5" s="2211"/>
      <c r="CD5" s="2211"/>
      <c r="CE5" s="2212"/>
      <c r="CF5" s="2210" t="s">
        <v>1860</v>
      </c>
      <c r="CG5" s="2211"/>
      <c r="CH5" s="2211"/>
      <c r="CI5" s="2211"/>
      <c r="CJ5" s="2212"/>
      <c r="CK5" s="2210" t="s">
        <v>1861</v>
      </c>
      <c r="CL5" s="2211"/>
      <c r="CM5" s="2211"/>
      <c r="CN5" s="2211"/>
      <c r="CO5" s="2212"/>
      <c r="CP5" s="2210" t="s">
        <v>1862</v>
      </c>
      <c r="CQ5" s="2211"/>
      <c r="CR5" s="2211"/>
      <c r="CS5" s="2211"/>
      <c r="CT5" s="2212"/>
      <c r="CU5" s="2200" t="s">
        <v>1863</v>
      </c>
      <c r="CV5" s="2201"/>
      <c r="CW5" s="2201"/>
      <c r="CX5" s="2201"/>
      <c r="CY5" s="2200" t="s">
        <v>1864</v>
      </c>
      <c r="CZ5" s="2201"/>
      <c r="DA5" s="2201"/>
      <c r="DB5" s="2202"/>
      <c r="DC5" s="730"/>
      <c r="DD5" s="732"/>
      <c r="DE5" s="733"/>
    </row>
    <row r="6" spans="1:109" s="55" customFormat="1" ht="57.4"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14"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14"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25"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394"/>
      <c r="BW54" s="1343"/>
      <c r="BX54" s="1343"/>
      <c r="BY54" s="1343"/>
      <c r="BZ54" s="1343"/>
      <c r="CA54" s="796" t="s">
        <v>1971</v>
      </c>
      <c r="CB54" s="788" t="s">
        <v>1971</v>
      </c>
      <c r="CC54" s="788" t="s">
        <v>1971</v>
      </c>
      <c r="CD54" s="788" t="s">
        <v>1971</v>
      </c>
      <c r="CE54" s="793" t="s">
        <v>1971</v>
      </c>
      <c r="CF54" s="788" t="s">
        <v>1971</v>
      </c>
      <c r="CG54" s="788" t="s">
        <v>1971</v>
      </c>
      <c r="CH54" s="788" t="s">
        <v>1971</v>
      </c>
      <c r="CI54" s="788" t="s">
        <v>1971</v>
      </c>
      <c r="CJ54" s="793" t="s">
        <v>1971</v>
      </c>
      <c r="CK54" s="1394"/>
      <c r="CL54" s="1343"/>
      <c r="CM54" s="1343"/>
      <c r="CN54" s="1343"/>
      <c r="CO54" s="1344"/>
      <c r="CP54" s="796" t="s">
        <v>1971</v>
      </c>
      <c r="CQ54" s="788" t="s">
        <v>1971</v>
      </c>
      <c r="CR54" s="788" t="s">
        <v>1971</v>
      </c>
      <c r="CS54" s="788" t="s">
        <v>1971</v>
      </c>
      <c r="CT54" s="793" t="s">
        <v>1971</v>
      </c>
      <c r="CU54" s="1499"/>
      <c r="CV54" s="1272" t="s">
        <v>1971</v>
      </c>
      <c r="CW54" s="1272" t="s">
        <v>1971</v>
      </c>
      <c r="CX54" s="1274" t="s">
        <v>1971</v>
      </c>
      <c r="CY54" s="1490"/>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961</v>
      </c>
      <c r="BM67" s="1881" t="s">
        <v>961</v>
      </c>
      <c r="BN67" s="1881" t="s">
        <v>961</v>
      </c>
      <c r="BO67" s="1881"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499">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14"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31"/>
      <c r="CL96" s="1916"/>
      <c r="CM96" s="1916"/>
      <c r="CN96" s="1916"/>
      <c r="CO96" s="1932">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961</v>
      </c>
      <c r="BM109" s="1878" t="s">
        <v>961</v>
      </c>
      <c r="BN109" s="1878" t="s">
        <v>961</v>
      </c>
      <c r="BO109" s="1878"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14"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14"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493" t="s">
        <v>991</v>
      </c>
      <c r="W181" s="761" t="s">
        <v>2701</v>
      </c>
      <c r="X181" s="817">
        <v>0</v>
      </c>
      <c r="Y181" s="1879"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961</v>
      </c>
      <c r="BM181" s="1881" t="s">
        <v>961</v>
      </c>
      <c r="BN181" s="1881" t="s">
        <v>961</v>
      </c>
      <c r="BO181" s="1881"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490"/>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14"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14"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961</v>
      </c>
      <c r="BM239" s="1881" t="s">
        <v>961</v>
      </c>
      <c r="BN239" s="1881" t="s">
        <v>961</v>
      </c>
      <c r="BO239" s="1881"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14"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27" t="s">
        <v>1039</v>
      </c>
      <c r="W257" s="1326"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27" t="s">
        <v>1039</v>
      </c>
      <c r="W262" s="1326"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14"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14"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961</v>
      </c>
      <c r="BM286" s="1888" t="s">
        <v>961</v>
      </c>
      <c r="BN286" s="1888" t="s">
        <v>961</v>
      </c>
      <c r="BO286" s="1888"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961</v>
      </c>
      <c r="BM318" s="1881" t="s">
        <v>961</v>
      </c>
      <c r="BN318" s="1881" t="s">
        <v>961</v>
      </c>
      <c r="BO318" s="1881"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14"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14"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49"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961</v>
      </c>
      <c r="BM347" s="1881" t="s">
        <v>961</v>
      </c>
      <c r="BN347" s="1881" t="s">
        <v>961</v>
      </c>
      <c r="BO347" s="1881"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14"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961</v>
      </c>
      <c r="BM390" s="1881" t="s">
        <v>961</v>
      </c>
      <c r="BN390" s="1881" t="s">
        <v>961</v>
      </c>
      <c r="BO390" s="1881"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17">
        <v>69028</v>
      </c>
      <c r="BW428" s="1918">
        <v>79828</v>
      </c>
      <c r="BX428" s="1918">
        <v>91428</v>
      </c>
      <c r="BY428" s="1918">
        <v>103828</v>
      </c>
      <c r="BZ428" s="1918">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17">
        <v>82209</v>
      </c>
      <c r="CL428" s="1918">
        <v>93709</v>
      </c>
      <c r="CM428" s="1918">
        <v>106709</v>
      </c>
      <c r="CN428" s="1918">
        <v>121209</v>
      </c>
      <c r="CO428" s="1919">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14"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961</v>
      </c>
      <c r="BM452" s="1881" t="s">
        <v>961</v>
      </c>
      <c r="BN452" s="1881" t="s">
        <v>961</v>
      </c>
      <c r="BO452" s="1881"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1982"/>
      <c r="CL493" s="1983"/>
      <c r="CM493" s="1983"/>
      <c r="CN493" s="1983"/>
      <c r="CO493" s="1984">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14"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40">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1985">
        <v>0</v>
      </c>
      <c r="CL503" s="1986">
        <v>1023</v>
      </c>
      <c r="CM503" s="1986">
        <v>2046</v>
      </c>
      <c r="CN503" s="1986">
        <v>3068</v>
      </c>
      <c r="CO503" s="1987">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961</v>
      </c>
      <c r="BM504" s="1881" t="s">
        <v>961</v>
      </c>
      <c r="BN504" s="1881" t="s">
        <v>961</v>
      </c>
      <c r="BO504" s="1881"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41">
        <v>-2.34</v>
      </c>
      <c r="CV506" s="1272" t="s">
        <v>1971</v>
      </c>
      <c r="CW506" s="1272" t="s">
        <v>1971</v>
      </c>
      <c r="CX506" s="1274" t="s">
        <v>1971</v>
      </c>
      <c r="CY506" s="1342">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961</v>
      </c>
      <c r="BM510" s="1881" t="s">
        <v>961</v>
      </c>
      <c r="BN510" s="1881" t="s">
        <v>961</v>
      </c>
      <c r="BO510" s="1881"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961</v>
      </c>
      <c r="BM511" s="1881" t="s">
        <v>961</v>
      </c>
      <c r="BN511" s="1881" t="s">
        <v>961</v>
      </c>
      <c r="BO511" s="1881"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395"/>
      <c r="BW513" s="1348"/>
      <c r="BX513" s="1348"/>
      <c r="BY513" s="1348"/>
      <c r="BZ513" s="1348"/>
      <c r="CA513" s="796" t="s">
        <v>1971</v>
      </c>
      <c r="CB513" s="788" t="s">
        <v>1971</v>
      </c>
      <c r="CC513" s="788" t="s">
        <v>1971</v>
      </c>
      <c r="CD513" s="788" t="s">
        <v>1971</v>
      </c>
      <c r="CE513" s="793" t="s">
        <v>1971</v>
      </c>
      <c r="CF513" s="788" t="s">
        <v>1971</v>
      </c>
      <c r="CG513" s="788" t="s">
        <v>1971</v>
      </c>
      <c r="CH513" s="788" t="s">
        <v>1971</v>
      </c>
      <c r="CI513" s="788" t="s">
        <v>1971</v>
      </c>
      <c r="CJ513" s="788" t="s">
        <v>1971</v>
      </c>
      <c r="CK513" s="1982">
        <v>9</v>
      </c>
      <c r="CL513" s="1983">
        <v>5.75</v>
      </c>
      <c r="CM513" s="1983">
        <v>4</v>
      </c>
      <c r="CN513" s="1983">
        <v>4</v>
      </c>
      <c r="CO513" s="1984">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082">
        <v>1</v>
      </c>
      <c r="AU527" s="925" t="s">
        <v>1971</v>
      </c>
      <c r="AV527" s="924"/>
      <c r="AW527" s="923"/>
      <c r="AX527" s="923"/>
      <c r="AY527" s="923"/>
      <c r="AZ527" s="923"/>
      <c r="BA527" s="923"/>
      <c r="BB527" s="923"/>
      <c r="BC527" s="923"/>
      <c r="BD527" s="923"/>
      <c r="BE527" s="923"/>
      <c r="BF527" s="923"/>
      <c r="BG527" s="923"/>
      <c r="BH527" s="923"/>
      <c r="BI527" s="923"/>
      <c r="BJ527" s="923"/>
      <c r="BK527" s="925"/>
      <c r="BL527" s="1880" t="s">
        <v>961</v>
      </c>
      <c r="BM527" s="1881" t="s">
        <v>961</v>
      </c>
      <c r="BN527" s="1881" t="s">
        <v>961</v>
      </c>
      <c r="BO527" s="1881"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394">
        <v>4.4800000000000004</v>
      </c>
      <c r="BW539" s="1343">
        <v>4.4800000000000004</v>
      </c>
      <c r="BX539" s="1343">
        <v>4.4800000000000004</v>
      </c>
      <c r="BY539" s="1343">
        <v>4.4800000000000004</v>
      </c>
      <c r="BZ539" s="1344">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14"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492">
        <v>4</v>
      </c>
      <c r="BW556" s="1697">
        <v>4</v>
      </c>
      <c r="BX556" s="1697">
        <v>4</v>
      </c>
      <c r="BY556" s="1697">
        <v>4</v>
      </c>
      <c r="BZ556" s="1498">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394">
        <v>40.049999999999997</v>
      </c>
      <c r="BW560" s="1343">
        <v>40.049999999999997</v>
      </c>
      <c r="BX560" s="1343">
        <v>40.049999999999997</v>
      </c>
      <c r="BY560" s="1343">
        <v>40.049999999999997</v>
      </c>
      <c r="BZ560" s="1344">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394" t="s">
        <v>2352</v>
      </c>
      <c r="AR562" s="1343" t="s">
        <v>2353</v>
      </c>
      <c r="AS562" s="1343" t="s">
        <v>2354</v>
      </c>
      <c r="AT562" s="1343" t="s">
        <v>2355</v>
      </c>
      <c r="AU562" s="1344"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493"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07">
        <v>98000</v>
      </c>
      <c r="CL579" s="1708">
        <v>100800</v>
      </c>
      <c r="CM579" s="1708">
        <v>102200</v>
      </c>
      <c r="CN579" s="1708">
        <v>103600</v>
      </c>
      <c r="CO579" s="1716">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961</v>
      </c>
      <c r="BM584" s="1881" t="s">
        <v>961</v>
      </c>
      <c r="BN584" s="1881" t="s">
        <v>961</v>
      </c>
      <c r="BO584" s="1881"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14"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961</v>
      </c>
      <c r="BM610" s="1881" t="s">
        <v>961</v>
      </c>
      <c r="BN610" s="1881" t="s">
        <v>961</v>
      </c>
      <c r="BO610" s="1881"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961</v>
      </c>
      <c r="BM615" s="1881" t="s">
        <v>961</v>
      </c>
      <c r="BN615" s="1881" t="s">
        <v>961</v>
      </c>
      <c r="BO615" s="1881"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14"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5.9"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00" t="s">
        <v>964</v>
      </c>
      <c r="T682" s="1249" t="s">
        <v>977</v>
      </c>
      <c r="U682" s="1240" t="s">
        <v>2087</v>
      </c>
      <c r="V682" s="1240" t="s">
        <v>141</v>
      </c>
      <c r="W682" s="1240"/>
      <c r="X682" s="1501">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491"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26">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889" t="s">
        <v>993</v>
      </c>
      <c r="B684" s="1890">
        <v>678</v>
      </c>
      <c r="C684" s="1891" t="s">
        <v>4732</v>
      </c>
      <c r="D684" s="1890" t="s">
        <v>4733</v>
      </c>
      <c r="E684" s="1890" t="s">
        <v>4734</v>
      </c>
      <c r="F684" s="1892"/>
      <c r="G684" s="1893" t="s">
        <v>4735</v>
      </c>
      <c r="H684" s="1894" t="s">
        <v>4736</v>
      </c>
      <c r="I684" s="1895">
        <v>0.1</v>
      </c>
      <c r="J684" s="1896"/>
      <c r="K684" s="1896">
        <v>0.9</v>
      </c>
      <c r="L684" s="1896"/>
      <c r="M684" s="1896"/>
      <c r="N684" s="1896"/>
      <c r="O684" s="1896"/>
      <c r="P684" s="1897"/>
      <c r="Q684" s="1898">
        <f t="shared" si="10"/>
        <v>1</v>
      </c>
      <c r="R684" s="1891" t="s">
        <v>988</v>
      </c>
      <c r="S684" s="1890" t="s">
        <v>964</v>
      </c>
      <c r="T684" s="1892" t="s">
        <v>977</v>
      </c>
      <c r="U684" s="1890" t="s">
        <v>2135</v>
      </c>
      <c r="V684" s="1890" t="s">
        <v>991</v>
      </c>
      <c r="W684" s="1890" t="s">
        <v>3465</v>
      </c>
      <c r="X684" s="1899">
        <v>0</v>
      </c>
      <c r="Y684" s="1900" t="s">
        <v>966</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961</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customHeight="1">
      <c r="A685" s="1889" t="s">
        <v>1003</v>
      </c>
      <c r="B685" s="1890">
        <v>679</v>
      </c>
      <c r="C685" s="1891" t="s">
        <v>4737</v>
      </c>
      <c r="D685" s="1890" t="s">
        <v>4738</v>
      </c>
      <c r="E685" s="1890" t="s">
        <v>4739</v>
      </c>
      <c r="F685" s="1901"/>
      <c r="G685" s="1893" t="s">
        <v>4740</v>
      </c>
      <c r="H685" s="1894" t="s">
        <v>4741</v>
      </c>
      <c r="I685" s="1895"/>
      <c r="J685" s="1896">
        <v>1</v>
      </c>
      <c r="K685" s="1896"/>
      <c r="L685" s="1896"/>
      <c r="M685" s="1896"/>
      <c r="N685" s="1896"/>
      <c r="O685" s="1896"/>
      <c r="P685" s="1897"/>
      <c r="Q685" s="1898">
        <f t="shared" si="10"/>
        <v>1</v>
      </c>
      <c r="R685" s="1891" t="s">
        <v>984</v>
      </c>
      <c r="S685" s="1890" t="s">
        <v>964</v>
      </c>
      <c r="T685" s="1892" t="s">
        <v>965</v>
      </c>
      <c r="U685" s="1890" t="s">
        <v>4742</v>
      </c>
      <c r="V685" s="1890" t="s">
        <v>994</v>
      </c>
      <c r="W685" s="1890" t="s">
        <v>4743</v>
      </c>
      <c r="X685" s="1899">
        <v>1</v>
      </c>
      <c r="Y685" s="1900" t="s">
        <v>966</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961</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customHeight="1">
      <c r="A686" s="1889" t="s">
        <v>1003</v>
      </c>
      <c r="B686" s="1890">
        <v>680</v>
      </c>
      <c r="C686" s="1891" t="s">
        <v>4744</v>
      </c>
      <c r="D686" s="1890" t="s">
        <v>4745</v>
      </c>
      <c r="E686" s="1890" t="s">
        <v>4739</v>
      </c>
      <c r="F686" s="1901"/>
      <c r="G686" s="1893" t="s">
        <v>4746</v>
      </c>
      <c r="H686" s="1894" t="s">
        <v>4747</v>
      </c>
      <c r="I686" s="1895"/>
      <c r="J686" s="1896"/>
      <c r="K686" s="1896"/>
      <c r="L686" s="1896"/>
      <c r="M686" s="1896"/>
      <c r="N686" s="1896"/>
      <c r="O686" s="1896"/>
      <c r="P686" s="1897"/>
      <c r="Q686" s="1898">
        <f t="shared" si="10"/>
        <v>0</v>
      </c>
      <c r="R686" s="1891" t="s">
        <v>963</v>
      </c>
      <c r="S686" s="1890"/>
      <c r="T686" s="1892"/>
      <c r="U686" s="1890" t="s">
        <v>4742</v>
      </c>
      <c r="V686" s="1890" t="s">
        <v>1030</v>
      </c>
      <c r="W686" s="1890" t="s">
        <v>4748</v>
      </c>
      <c r="X686" s="1899">
        <v>0</v>
      </c>
      <c r="Y686" s="1900" t="s">
        <v>966</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4749</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customHeight="1">
      <c r="A687" s="1889" t="s">
        <v>1003</v>
      </c>
      <c r="B687" s="1890">
        <v>681</v>
      </c>
      <c r="C687" s="1891" t="s">
        <v>4750</v>
      </c>
      <c r="D687" s="1890" t="s">
        <v>4751</v>
      </c>
      <c r="E687" s="1890" t="s">
        <v>4739</v>
      </c>
      <c r="F687" s="1901"/>
      <c r="G687" s="1893" t="s">
        <v>4752</v>
      </c>
      <c r="H687" s="1894" t="s">
        <v>4753</v>
      </c>
      <c r="I687" s="1895"/>
      <c r="J687" s="1896"/>
      <c r="K687" s="1896"/>
      <c r="L687" s="1896"/>
      <c r="M687" s="1896"/>
      <c r="N687" s="1896"/>
      <c r="O687" s="1896"/>
      <c r="P687" s="1897"/>
      <c r="Q687" s="1898">
        <f t="shared" si="10"/>
        <v>0</v>
      </c>
      <c r="R687" s="1891" t="s">
        <v>963</v>
      </c>
      <c r="S687" s="1890"/>
      <c r="T687" s="1892"/>
      <c r="U687" s="1890" t="s">
        <v>4742</v>
      </c>
      <c r="V687" s="1890" t="s">
        <v>1030</v>
      </c>
      <c r="W687" s="1890" t="s">
        <v>4748</v>
      </c>
      <c r="X687" s="1899">
        <v>0</v>
      </c>
      <c r="Y687" s="1900" t="s">
        <v>966</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4754</v>
      </c>
      <c r="AU687" s="1904" t="s">
        <v>4755</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3.5"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3.5"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3.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10"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4772</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17">
        <v>25</v>
      </c>
      <c r="AB6" s="2218"/>
      <c r="AC6" s="2218"/>
      <c r="AD6" s="2218"/>
      <c r="AE6" s="2218"/>
      <c r="AF6" s="2218"/>
      <c r="AG6" s="2218"/>
      <c r="AH6" s="2218"/>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2148">
        <v>123</v>
      </c>
      <c r="DV6" s="967">
        <v>124</v>
      </c>
      <c r="DW6" s="2147">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2141" t="s">
        <v>1852</v>
      </c>
      <c r="V7" s="707" t="s">
        <v>961</v>
      </c>
      <c r="W7" s="708" t="s">
        <v>961</v>
      </c>
      <c r="X7" s="2142" t="s">
        <v>961</v>
      </c>
      <c r="Y7" s="710" t="s">
        <v>961</v>
      </c>
      <c r="Z7" s="708" t="s">
        <v>961</v>
      </c>
      <c r="AA7" s="2198"/>
      <c r="AB7" s="2222"/>
      <c r="AC7" s="2222"/>
      <c r="AD7" s="2222"/>
      <c r="AE7" s="2222"/>
      <c r="AF7" s="2222"/>
      <c r="AG7" s="2222"/>
      <c r="AH7" s="2222"/>
      <c r="AI7" s="2143"/>
      <c r="AJ7" s="2142" t="s">
        <v>961</v>
      </c>
      <c r="AK7" s="708" t="s">
        <v>961</v>
      </c>
      <c r="AL7" s="2143" t="s">
        <v>961</v>
      </c>
      <c r="AM7" s="708" t="s">
        <v>961</v>
      </c>
      <c r="AN7" s="708" t="s">
        <v>961</v>
      </c>
      <c r="AO7" s="708" t="s">
        <v>961</v>
      </c>
      <c r="AP7" s="711" t="s">
        <v>961</v>
      </c>
      <c r="AQ7" s="712" t="s">
        <v>961</v>
      </c>
      <c r="AR7" s="709" t="s">
        <v>961</v>
      </c>
      <c r="AS7" s="2142" t="s">
        <v>961</v>
      </c>
      <c r="AT7" s="2142" t="s">
        <v>961</v>
      </c>
      <c r="AU7" s="2142" t="s">
        <v>961</v>
      </c>
      <c r="AV7" s="2142" t="s">
        <v>961</v>
      </c>
      <c r="AW7" s="2142" t="s">
        <v>961</v>
      </c>
      <c r="AX7" s="706" t="s">
        <v>973</v>
      </c>
      <c r="AY7" s="2195" t="s">
        <v>973</v>
      </c>
      <c r="AZ7" s="2196"/>
      <c r="BA7" s="2196"/>
      <c r="BB7" s="2196"/>
      <c r="BC7" s="2196"/>
      <c r="BD7" s="2196"/>
      <c r="BE7" s="2196"/>
      <c r="BF7" s="2196"/>
      <c r="BG7" s="2196"/>
      <c r="BH7" s="2197"/>
      <c r="BI7" s="2195" t="s">
        <v>973</v>
      </c>
      <c r="BJ7" s="2196"/>
      <c r="BK7" s="2196"/>
      <c r="BL7" s="2196"/>
      <c r="BM7" s="2197"/>
      <c r="BN7" s="2195" t="s">
        <v>973</v>
      </c>
      <c r="BO7" s="2196"/>
      <c r="BP7" s="2196"/>
      <c r="BQ7" s="2196"/>
      <c r="BR7" s="2196"/>
      <c r="BS7" s="2196"/>
      <c r="BT7" s="2196"/>
      <c r="BU7" s="2196"/>
      <c r="BV7" s="2196"/>
      <c r="BW7" s="2196"/>
      <c r="BX7" s="2196"/>
      <c r="BY7" s="2196"/>
      <c r="BZ7" s="2196"/>
      <c r="CA7" s="2196"/>
      <c r="CB7" s="2196"/>
      <c r="CC7" s="2197"/>
      <c r="CD7" s="2195" t="s">
        <v>973</v>
      </c>
      <c r="CE7" s="2196"/>
      <c r="CF7" s="2196"/>
      <c r="CG7" s="2196"/>
      <c r="CH7" s="2197"/>
      <c r="CI7" s="2195" t="s">
        <v>973</v>
      </c>
      <c r="CJ7" s="2196"/>
      <c r="CK7" s="2196"/>
      <c r="CL7" s="2196"/>
      <c r="CM7" s="2197"/>
      <c r="CN7" s="2195" t="s">
        <v>973</v>
      </c>
      <c r="CO7" s="2196"/>
      <c r="CP7" s="2196"/>
      <c r="CQ7" s="2196"/>
      <c r="CR7" s="2196"/>
      <c r="CS7" s="2195" t="s">
        <v>973</v>
      </c>
      <c r="CT7" s="2196"/>
      <c r="CU7" s="2196"/>
      <c r="CV7" s="2196"/>
      <c r="CW7" s="2196"/>
      <c r="CX7" s="2195" t="s">
        <v>973</v>
      </c>
      <c r="CY7" s="2196"/>
      <c r="CZ7" s="2196"/>
      <c r="DA7" s="2196"/>
      <c r="DB7" s="2196"/>
      <c r="DC7" s="2196" t="s">
        <v>973</v>
      </c>
      <c r="DD7" s="2196"/>
      <c r="DE7" s="2196"/>
      <c r="DF7" s="2196"/>
      <c r="DG7" s="2197"/>
      <c r="DH7" s="2195" t="s">
        <v>973</v>
      </c>
      <c r="DI7" s="2196"/>
      <c r="DJ7" s="2196"/>
      <c r="DK7" s="2196"/>
      <c r="DL7" s="2197"/>
      <c r="DM7" s="713" t="s">
        <v>973</v>
      </c>
      <c r="DN7" s="714" t="s">
        <v>973</v>
      </c>
      <c r="DO7" s="715" t="s">
        <v>973</v>
      </c>
      <c r="DP7" s="716" t="s">
        <v>973</v>
      </c>
      <c r="DQ7" s="713" t="s">
        <v>973</v>
      </c>
      <c r="DR7" s="714" t="s">
        <v>973</v>
      </c>
      <c r="DS7" s="715" t="s">
        <v>973</v>
      </c>
      <c r="DT7" s="716" t="s">
        <v>973</v>
      </c>
      <c r="DU7" s="2142" t="s">
        <v>973</v>
      </c>
      <c r="DV7" s="717" t="s">
        <v>973</v>
      </c>
      <c r="DW7" s="2141" t="s">
        <v>973</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2143"/>
      <c r="AR8" s="723"/>
      <c r="AS8" s="2140"/>
      <c r="AT8" s="730"/>
      <c r="AU8" s="730"/>
      <c r="AV8" s="730"/>
      <c r="AW8" s="730"/>
      <c r="AX8" s="731"/>
      <c r="AY8" s="2203" t="s">
        <v>1854</v>
      </c>
      <c r="AZ8" s="2204"/>
      <c r="BA8" s="2204"/>
      <c r="BB8" s="2204"/>
      <c r="BC8" s="2204"/>
      <c r="BD8" s="2204"/>
      <c r="BE8" s="2204"/>
      <c r="BF8" s="2204"/>
      <c r="BG8" s="2204"/>
      <c r="BH8" s="2206"/>
      <c r="BI8" s="2203" t="s">
        <v>1855</v>
      </c>
      <c r="BJ8" s="2204"/>
      <c r="BK8" s="2204"/>
      <c r="BL8" s="2204"/>
      <c r="BM8" s="2206"/>
      <c r="BN8" s="2203" t="s">
        <v>1856</v>
      </c>
      <c r="BO8" s="2204"/>
      <c r="BP8" s="2204"/>
      <c r="BQ8" s="2204"/>
      <c r="BR8" s="2204"/>
      <c r="BS8" s="2204"/>
      <c r="BT8" s="2204"/>
      <c r="BU8" s="2204"/>
      <c r="BV8" s="2204"/>
      <c r="BW8" s="2204"/>
      <c r="BX8" s="2204"/>
      <c r="BY8" s="2204"/>
      <c r="BZ8" s="2204"/>
      <c r="CA8" s="2204"/>
      <c r="CB8" s="2204"/>
      <c r="CC8" s="2206"/>
      <c r="CD8" s="2207" t="s">
        <v>956</v>
      </c>
      <c r="CE8" s="2208"/>
      <c r="CF8" s="2208"/>
      <c r="CG8" s="2208"/>
      <c r="CH8" s="2209"/>
      <c r="CI8" s="2210" t="s">
        <v>1857</v>
      </c>
      <c r="CJ8" s="2211"/>
      <c r="CK8" s="2211"/>
      <c r="CL8" s="2211"/>
      <c r="CM8" s="2212"/>
      <c r="CN8" s="2210" t="s">
        <v>1858</v>
      </c>
      <c r="CO8" s="2211"/>
      <c r="CP8" s="2211"/>
      <c r="CQ8" s="2211"/>
      <c r="CR8" s="2211"/>
      <c r="CS8" s="2210" t="s">
        <v>1859</v>
      </c>
      <c r="CT8" s="2211"/>
      <c r="CU8" s="2211"/>
      <c r="CV8" s="2211"/>
      <c r="CW8" s="2211"/>
      <c r="CX8" s="2210" t="s">
        <v>1860</v>
      </c>
      <c r="CY8" s="2211"/>
      <c r="CZ8" s="2211"/>
      <c r="DA8" s="2211"/>
      <c r="DB8" s="2211"/>
      <c r="DC8" s="2223" t="s">
        <v>1861</v>
      </c>
      <c r="DD8" s="2211"/>
      <c r="DE8" s="2211"/>
      <c r="DF8" s="2211"/>
      <c r="DG8" s="2212"/>
      <c r="DH8" s="2210" t="s">
        <v>1862</v>
      </c>
      <c r="DI8" s="2211"/>
      <c r="DJ8" s="2211"/>
      <c r="DK8" s="2211"/>
      <c r="DL8" s="2212"/>
      <c r="DM8" s="2200" t="s">
        <v>4774</v>
      </c>
      <c r="DN8" s="2224"/>
      <c r="DO8" s="2224"/>
      <c r="DP8" s="2224"/>
      <c r="DQ8" s="2200" t="s">
        <v>1864</v>
      </c>
      <c r="DR8" s="2224"/>
      <c r="DS8" s="2224"/>
      <c r="DT8" s="2225"/>
      <c r="DU8" s="730"/>
      <c r="DV8" s="732"/>
      <c r="DW8" s="976"/>
    </row>
    <row r="9" spans="1:127" s="55" customFormat="1" ht="52.5"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15" t="s">
        <v>1907</v>
      </c>
      <c r="DN9" s="1416" t="s">
        <v>1908</v>
      </c>
      <c r="DO9" s="1417" t="s">
        <v>1909</v>
      </c>
      <c r="DP9" s="1000" t="s">
        <v>1910</v>
      </c>
      <c r="DQ9" s="1415" t="s">
        <v>1911</v>
      </c>
      <c r="DR9" s="1416" t="s">
        <v>1912</v>
      </c>
      <c r="DS9" s="1417"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961</v>
      </c>
      <c r="CE11" s="1315" t="s">
        <v>961</v>
      </c>
      <c r="CF11" s="1315" t="s">
        <v>961</v>
      </c>
      <c r="CG11" s="1315" t="s">
        <v>961</v>
      </c>
      <c r="CH11" s="1316" t="s">
        <v>961</v>
      </c>
      <c r="CI11" s="1317" t="s">
        <v>1971</v>
      </c>
      <c r="CJ11" s="1065" t="s">
        <v>1971</v>
      </c>
      <c r="CK11" s="1065" t="s">
        <v>1971</v>
      </c>
      <c r="CL11" s="1065" t="s">
        <v>1971</v>
      </c>
      <c r="CM11" s="1313" t="s">
        <v>1971</v>
      </c>
      <c r="CN11" s="1066">
        <v>-5</v>
      </c>
      <c r="CO11" s="1065">
        <v>-5</v>
      </c>
      <c r="CP11" s="1065">
        <v>-5</v>
      </c>
      <c r="CQ11" s="1065">
        <v>-5</v>
      </c>
      <c r="CR11" s="1313">
        <v>-5</v>
      </c>
      <c r="CS11" s="1317" t="s">
        <v>1971</v>
      </c>
      <c r="CT11" s="1065" t="s">
        <v>1971</v>
      </c>
      <c r="CU11" s="1065" t="s">
        <v>1971</v>
      </c>
      <c r="CV11" s="1065" t="s">
        <v>1971</v>
      </c>
      <c r="CW11" s="1313" t="s">
        <v>1971</v>
      </c>
      <c r="CX11" s="1317" t="s">
        <v>1971</v>
      </c>
      <c r="CY11" s="1065" t="s">
        <v>1971</v>
      </c>
      <c r="CZ11" s="1065" t="s">
        <v>1971</v>
      </c>
      <c r="DA11" s="1065" t="s">
        <v>1971</v>
      </c>
      <c r="DB11" s="1313" t="s">
        <v>1971</v>
      </c>
      <c r="DC11" s="1318">
        <v>5.8</v>
      </c>
      <c r="DD11" s="1065">
        <v>13.8</v>
      </c>
      <c r="DE11" s="1065">
        <v>16.5</v>
      </c>
      <c r="DF11" s="1065">
        <v>19.399999999999999</v>
      </c>
      <c r="DG11" s="1313">
        <v>22.2</v>
      </c>
      <c r="DH11" s="1066" t="s">
        <v>1971</v>
      </c>
      <c r="DI11" s="1065" t="s">
        <v>1971</v>
      </c>
      <c r="DJ11" s="1065" t="s">
        <v>1971</v>
      </c>
      <c r="DK11" s="1065" t="s">
        <v>1971</v>
      </c>
      <c r="DL11" s="1313"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14"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961</v>
      </c>
      <c r="CE12" s="1315" t="s">
        <v>961</v>
      </c>
      <c r="CF12" s="1315" t="s">
        <v>961</v>
      </c>
      <c r="CG12" s="1315" t="s">
        <v>961</v>
      </c>
      <c r="CH12" s="1316" t="s">
        <v>961</v>
      </c>
      <c r="CI12" s="1066" t="s">
        <v>1971</v>
      </c>
      <c r="CJ12" s="1065" t="s">
        <v>1971</v>
      </c>
      <c r="CK12" s="1065" t="s">
        <v>1971</v>
      </c>
      <c r="CL12" s="1065" t="s">
        <v>1971</v>
      </c>
      <c r="CM12" s="1313" t="s">
        <v>1971</v>
      </c>
      <c r="CN12" s="1066">
        <v>-8.1</v>
      </c>
      <c r="CO12" s="1065">
        <v>-8.1</v>
      </c>
      <c r="CP12" s="1065">
        <v>-8.1</v>
      </c>
      <c r="CQ12" s="1065">
        <v>-8.1</v>
      </c>
      <c r="CR12" s="1313">
        <v>-8.1</v>
      </c>
      <c r="CS12" s="1066" t="s">
        <v>1971</v>
      </c>
      <c r="CT12" s="1065" t="s">
        <v>1971</v>
      </c>
      <c r="CU12" s="1065" t="s">
        <v>1971</v>
      </c>
      <c r="CV12" s="1065" t="s">
        <v>1971</v>
      </c>
      <c r="CW12" s="1313" t="s">
        <v>1971</v>
      </c>
      <c r="CX12" s="1066" t="s">
        <v>1971</v>
      </c>
      <c r="CY12" s="1065" t="s">
        <v>1971</v>
      </c>
      <c r="CZ12" s="1065" t="s">
        <v>1971</v>
      </c>
      <c r="DA12" s="1065" t="s">
        <v>1971</v>
      </c>
      <c r="DB12" s="1313" t="s">
        <v>1971</v>
      </c>
      <c r="DC12" s="1318">
        <v>3.7</v>
      </c>
      <c r="DD12" s="1065">
        <v>6.9</v>
      </c>
      <c r="DE12" s="1065">
        <v>9.3000000000000007</v>
      </c>
      <c r="DF12" s="1065">
        <v>12</v>
      </c>
      <c r="DG12" s="1313">
        <v>14.5</v>
      </c>
      <c r="DH12" s="1066" t="s">
        <v>1971</v>
      </c>
      <c r="DI12" s="1065" t="s">
        <v>1971</v>
      </c>
      <c r="DJ12" s="1065" t="s">
        <v>1971</v>
      </c>
      <c r="DK12" s="1065" t="s">
        <v>1971</v>
      </c>
      <c r="DL12" s="1313"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1971</v>
      </c>
      <c r="CE13" s="1323" t="s">
        <v>1971</v>
      </c>
      <c r="CF13" s="1323" t="s">
        <v>1971</v>
      </c>
      <c r="CG13" s="1323" t="s">
        <v>1971</v>
      </c>
      <c r="CH13" s="1324" t="s">
        <v>1971</v>
      </c>
      <c r="CI13" s="1102" t="s">
        <v>1971</v>
      </c>
      <c r="CJ13" s="1101" t="s">
        <v>1971</v>
      </c>
      <c r="CK13" s="1101" t="s">
        <v>1971</v>
      </c>
      <c r="CL13" s="1101" t="s">
        <v>1971</v>
      </c>
      <c r="CM13" s="1321" t="s">
        <v>1971</v>
      </c>
      <c r="CN13" s="1102" t="s">
        <v>1971</v>
      </c>
      <c r="CO13" s="1101" t="s">
        <v>1971</v>
      </c>
      <c r="CP13" s="1101" t="s">
        <v>1971</v>
      </c>
      <c r="CQ13" s="1101" t="s">
        <v>1971</v>
      </c>
      <c r="CR13" s="1321" t="s">
        <v>1971</v>
      </c>
      <c r="CS13" s="1102" t="s">
        <v>1971</v>
      </c>
      <c r="CT13" s="1101" t="s">
        <v>1971</v>
      </c>
      <c r="CU13" s="1101" t="s">
        <v>1971</v>
      </c>
      <c r="CV13" s="1101" t="s">
        <v>1971</v>
      </c>
      <c r="CW13" s="1321" t="s">
        <v>1971</v>
      </c>
      <c r="CX13" s="1102" t="s">
        <v>1971</v>
      </c>
      <c r="CY13" s="1101" t="s">
        <v>1971</v>
      </c>
      <c r="CZ13" s="1101" t="s">
        <v>1971</v>
      </c>
      <c r="DA13" s="1101" t="s">
        <v>1971</v>
      </c>
      <c r="DB13" s="1321" t="s">
        <v>1971</v>
      </c>
      <c r="DC13" s="1101" t="s">
        <v>1971</v>
      </c>
      <c r="DD13" s="1101" t="s">
        <v>1971</v>
      </c>
      <c r="DE13" s="1101" t="s">
        <v>1971</v>
      </c>
      <c r="DF13" s="1101" t="s">
        <v>1971</v>
      </c>
      <c r="DG13" s="1321" t="s">
        <v>1971</v>
      </c>
      <c r="DH13" s="1102" t="s">
        <v>1971</v>
      </c>
      <c r="DI13" s="1101" t="s">
        <v>1971</v>
      </c>
      <c r="DJ13" s="1101" t="s">
        <v>1971</v>
      </c>
      <c r="DK13" s="1101" t="s">
        <v>1971</v>
      </c>
      <c r="DL13" s="1321"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395">
        <v>-109.5</v>
      </c>
      <c r="CJ42" s="1348">
        <v>-109.5</v>
      </c>
      <c r="CK42" s="1348">
        <v>-109.5</v>
      </c>
      <c r="CL42" s="1348">
        <v>-109.5</v>
      </c>
      <c r="CM42" s="1349">
        <v>-109.5</v>
      </c>
      <c r="CN42" s="1395">
        <v>0</v>
      </c>
      <c r="CO42" s="1348">
        <v>0</v>
      </c>
      <c r="CP42" s="1348">
        <v>0</v>
      </c>
      <c r="CQ42" s="1348">
        <v>0</v>
      </c>
      <c r="CR42" s="1349">
        <v>0</v>
      </c>
      <c r="CS42" s="1067" t="s">
        <v>1971</v>
      </c>
      <c r="CT42" s="1068" t="s">
        <v>1971</v>
      </c>
      <c r="CU42" s="1068" t="s">
        <v>1971</v>
      </c>
      <c r="CV42" s="1068" t="s">
        <v>1971</v>
      </c>
      <c r="CW42" s="1071" t="s">
        <v>1971</v>
      </c>
      <c r="CX42" s="1067" t="s">
        <v>1971</v>
      </c>
      <c r="CY42" s="1068" t="s">
        <v>1971</v>
      </c>
      <c r="CZ42" s="1068" t="s">
        <v>1971</v>
      </c>
      <c r="DA42" s="1068" t="s">
        <v>1971</v>
      </c>
      <c r="DB42" s="1071" t="s">
        <v>1971</v>
      </c>
      <c r="DC42" s="1345" t="s">
        <v>4797</v>
      </c>
      <c r="DD42" s="1346" t="s">
        <v>4797</v>
      </c>
      <c r="DE42" s="1346" t="s">
        <v>4797</v>
      </c>
      <c r="DF42" s="1346" t="s">
        <v>4797</v>
      </c>
      <c r="DG42" s="1347"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14"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43">
        <v>1.35</v>
      </c>
      <c r="DD44" s="1348">
        <v>1.3</v>
      </c>
      <c r="DE44" s="1343">
        <v>1.25</v>
      </c>
      <c r="DF44" s="1343">
        <v>1.1100000000000001</v>
      </c>
      <c r="DG44" s="1344">
        <v>1.01</v>
      </c>
      <c r="DH44" s="1063" t="s">
        <v>1971</v>
      </c>
      <c r="DI44" s="1064" t="s">
        <v>1971</v>
      </c>
      <c r="DJ44" s="1064" t="s">
        <v>1971</v>
      </c>
      <c r="DK44" s="1064" t="s">
        <v>1971</v>
      </c>
      <c r="DL44" s="1105" t="s">
        <v>1971</v>
      </c>
      <c r="DM44" s="2035">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43">
        <v>9.51</v>
      </c>
      <c r="DD45" s="1343">
        <v>8.74</v>
      </c>
      <c r="DE45" s="1348">
        <v>8</v>
      </c>
      <c r="DF45" s="1348">
        <v>7.4</v>
      </c>
      <c r="DG45" s="1349">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395">
        <v>-5</v>
      </c>
      <c r="CJ97" s="1348">
        <v>-5</v>
      </c>
      <c r="CK97" s="1348">
        <v>-5</v>
      </c>
      <c r="CL97" s="1348">
        <v>-5</v>
      </c>
      <c r="CM97" s="1349">
        <v>-5</v>
      </c>
      <c r="CN97" s="1395">
        <v>0</v>
      </c>
      <c r="CO97" s="1348">
        <v>0</v>
      </c>
      <c r="CP97" s="1348">
        <v>0</v>
      </c>
      <c r="CQ97" s="1348">
        <v>0</v>
      </c>
      <c r="CR97" s="1349">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35">
        <v>-0.26200000000000001</v>
      </c>
      <c r="DN97" s="2036">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14"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ht="13">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08">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09">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09">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08">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08">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14" t="s">
        <v>977</v>
      </c>
      <c r="AM115" s="1056" t="s">
        <v>2083</v>
      </c>
      <c r="AN115" s="1050" t="s">
        <v>2147</v>
      </c>
      <c r="AO115" s="1050" t="s">
        <v>4783</v>
      </c>
      <c r="AP115" s="1308">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08">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08">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08">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09">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09">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09">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09">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08">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09">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08">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08">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09">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08">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08">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09">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09">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09">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09">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09">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08">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09">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09">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09">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09">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09">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395" t="s">
        <v>4797</v>
      </c>
      <c r="DD145" s="1395" t="s">
        <v>4797</v>
      </c>
      <c r="DE145" s="1395" t="s">
        <v>4797</v>
      </c>
      <c r="DF145" s="1395" t="s">
        <v>4797</v>
      </c>
      <c r="DG145" s="1395"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395" t="s">
        <v>4797</v>
      </c>
      <c r="DD146" s="1395" t="s">
        <v>4797</v>
      </c>
      <c r="DE146" s="1395" t="s">
        <v>4797</v>
      </c>
      <c r="DF146" s="1395" t="s">
        <v>4797</v>
      </c>
      <c r="DG146" s="1395"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14"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74"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14"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35">
        <v>1.9328703703703704E-3</v>
      </c>
      <c r="DD193" s="1335">
        <v>1.712962962962963E-3</v>
      </c>
      <c r="DE193" s="1335">
        <v>1.5046296296296294E-3</v>
      </c>
      <c r="DF193" s="1335">
        <v>1.2962962962962963E-3</v>
      </c>
      <c r="DG193" s="1335">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14"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09">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09">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14"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09">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09">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09">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09">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09">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09">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09">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09">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26" t="s">
        <v>3002</v>
      </c>
      <c r="AP257" s="1309">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09">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26" t="s">
        <v>3002</v>
      </c>
      <c r="AP262" s="1309">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09">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09">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14" t="s">
        <v>977</v>
      </c>
      <c r="AM265" s="1095" t="s">
        <v>2146</v>
      </c>
      <c r="AN265" s="1006" t="s">
        <v>293</v>
      </c>
      <c r="AO265" s="1006" t="s">
        <v>3033</v>
      </c>
      <c r="AP265" s="1309">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09">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09">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09">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09">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09">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09">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09">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09">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09">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09">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09">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14"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09">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09">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09">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09">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09">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09">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14"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14"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09">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09">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09">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09">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09">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09">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09">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09">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09">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09">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09">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09">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09">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09">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09">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09">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09">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09">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09">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09">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09">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09">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09">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09">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09">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394">
        <v>2.56</v>
      </c>
      <c r="CJ369" s="1394">
        <v>2.56</v>
      </c>
      <c r="CK369" s="1394">
        <v>2.56</v>
      </c>
      <c r="CL369" s="1394">
        <v>2.56</v>
      </c>
      <c r="CM369" s="1394">
        <v>2.56</v>
      </c>
      <c r="CN369" s="1395">
        <v>2.35</v>
      </c>
      <c r="CO369" s="1395">
        <v>2.35</v>
      </c>
      <c r="CP369" s="1395">
        <v>2.35</v>
      </c>
      <c r="CQ369" s="1395">
        <v>2.35</v>
      </c>
      <c r="CR369" s="1395">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09">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09">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09">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09">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09">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14"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09">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09">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09">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09">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09">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09">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09">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09">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09">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09">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09">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09">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09">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09">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14"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09">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09">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09">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09">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09">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09">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09">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09">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09">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09">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09">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09">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09">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09">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10">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09">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09">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09">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09">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09">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09">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09">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09">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09">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09">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09">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09">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09">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09">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09">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09">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09">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50">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14"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14"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14"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492">
        <v>-20</v>
      </c>
      <c r="CJ658" s="1492">
        <v>-20</v>
      </c>
      <c r="CK658" s="1492">
        <v>-20</v>
      </c>
      <c r="CL658" s="1492">
        <v>-20</v>
      </c>
      <c r="CM658" s="1492">
        <v>-20</v>
      </c>
      <c r="CN658" s="1492">
        <v>0</v>
      </c>
      <c r="CO658" s="1492">
        <v>0</v>
      </c>
      <c r="CP658" s="1492">
        <v>0</v>
      </c>
      <c r="CQ658" s="1492">
        <v>0</v>
      </c>
      <c r="CR658" s="1492">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49" t="s">
        <v>4797</v>
      </c>
      <c r="DD658" s="1349" t="s">
        <v>4797</v>
      </c>
      <c r="DE658" s="1349" t="s">
        <v>4797</v>
      </c>
      <c r="DF658" s="1349" t="s">
        <v>4797</v>
      </c>
      <c r="DG658" s="1349"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14"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customHeight="1" thickBot="1">
      <c r="A678" s="1149" t="s">
        <v>1015</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79"/>
      <c r="BO678" s="1379"/>
      <c r="BP678" s="1379"/>
      <c r="BQ678" s="1379"/>
      <c r="BR678" s="1379"/>
      <c r="BS678" s="1380"/>
      <c r="BT678" s="1379"/>
      <c r="BU678" s="1379"/>
      <c r="BV678" s="1379"/>
      <c r="BW678" s="1381"/>
      <c r="BX678" s="1380"/>
      <c r="BY678" s="1379"/>
      <c r="BZ678" s="1379"/>
      <c r="CA678" s="1379"/>
      <c r="CB678" s="1381"/>
      <c r="CC678" s="1379"/>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4883</v>
      </c>
      <c r="B2" s="1506"/>
      <c r="D2" s="2151" t="s">
        <v>4884</v>
      </c>
      <c r="E2" s="2151"/>
      <c r="F2" s="1551"/>
      <c r="G2" s="1551"/>
      <c r="H2" s="1551"/>
      <c r="I2" s="1551"/>
      <c r="J2" s="1551"/>
      <c r="K2" s="1551"/>
      <c r="L2" s="2151"/>
    </row>
    <row r="3" spans="1:107" s="1353" customFormat="1" ht="16.5" customHeight="1">
      <c r="A3" s="1552"/>
      <c r="B3" s="1506" t="s">
        <v>4885</v>
      </c>
      <c r="D3" s="2150" t="s">
        <v>4886</v>
      </c>
      <c r="E3" s="2227" t="s">
        <v>4887</v>
      </c>
      <c r="F3" s="2228"/>
      <c r="G3" s="1551"/>
      <c r="H3" s="1551"/>
      <c r="I3" s="1551"/>
      <c r="J3" s="1551"/>
      <c r="K3" s="1551"/>
      <c r="L3" s="2151"/>
    </row>
    <row r="4" spans="1:107" s="1353" customFormat="1" ht="14.5">
      <c r="A4" s="1553"/>
      <c r="B4" s="1506" t="s">
        <v>4888</v>
      </c>
      <c r="D4" s="2150"/>
      <c r="E4" s="2150"/>
      <c r="F4" s="1551"/>
      <c r="G4" s="1551"/>
      <c r="H4" s="1551"/>
      <c r="I4" s="1551"/>
      <c r="J4" s="1551"/>
      <c r="K4" s="1551"/>
      <c r="L4" s="2151"/>
    </row>
    <row r="5" spans="1:107" s="1353" customFormat="1" ht="14.5">
      <c r="A5" s="1554"/>
      <c r="B5" s="1506" t="s">
        <v>4889</v>
      </c>
      <c r="D5" s="2150"/>
      <c r="E5" s="2150"/>
      <c r="F5" s="1551"/>
      <c r="G5" s="1551"/>
      <c r="H5" s="1551"/>
      <c r="I5" s="1551"/>
      <c r="J5" s="1551"/>
      <c r="K5" s="1551"/>
      <c r="L5" s="2151"/>
    </row>
    <row r="6" spans="1:107" s="1353" customFormat="1" ht="14.5">
      <c r="A6" s="1873"/>
      <c r="B6" s="1506" t="s">
        <v>4890</v>
      </c>
      <c r="D6" s="2151"/>
      <c r="E6" s="2151"/>
      <c r="F6" s="1551"/>
      <c r="G6" s="1551"/>
      <c r="H6" s="1551"/>
      <c r="I6" s="1551"/>
      <c r="J6" s="1551"/>
      <c r="K6" s="1551"/>
      <c r="L6" s="2151"/>
    </row>
    <row r="7" spans="1:107" s="1353" customFormat="1" ht="29">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5">
      <c r="A8" s="1550">
        <v>1</v>
      </c>
      <c r="B8" s="1560" t="s">
        <v>972</v>
      </c>
      <c r="C8" s="1561" t="s">
        <v>2071</v>
      </c>
      <c r="D8" s="1561" t="s">
        <v>4902</v>
      </c>
      <c r="E8" s="1561" t="s">
        <v>4903</v>
      </c>
      <c r="F8" s="1550" t="s">
        <v>4904</v>
      </c>
      <c r="G8" s="1550">
        <v>77</v>
      </c>
      <c r="H8" s="1550" t="s">
        <v>1859</v>
      </c>
      <c r="I8" s="1550" t="s">
        <v>985</v>
      </c>
      <c r="J8" s="1562">
        <v>2</v>
      </c>
      <c r="K8" s="1562">
        <v>1.5</v>
      </c>
      <c r="L8" s="1561" t="s">
        <v>4905</v>
      </c>
      <c r="M8" s="1563">
        <v>44287</v>
      </c>
    </row>
    <row r="9" spans="1:107" s="1353" customFormat="1" ht="14.5">
      <c r="A9" s="1550">
        <v>2</v>
      </c>
      <c r="B9" s="1560" t="s">
        <v>972</v>
      </c>
      <c r="C9" s="1561" t="s">
        <v>2071</v>
      </c>
      <c r="D9" s="1561" t="s">
        <v>4902</v>
      </c>
      <c r="E9" s="1561" t="s">
        <v>4903</v>
      </c>
      <c r="F9" s="1550" t="s">
        <v>4904</v>
      </c>
      <c r="G9" s="1550">
        <v>77</v>
      </c>
      <c r="H9" s="1550" t="s">
        <v>1859</v>
      </c>
      <c r="I9" s="1550" t="s">
        <v>958</v>
      </c>
      <c r="J9" s="1562">
        <v>2</v>
      </c>
      <c r="K9" s="1562">
        <v>1.5</v>
      </c>
      <c r="L9" s="1561" t="s">
        <v>4905</v>
      </c>
      <c r="M9" s="1563">
        <v>44287</v>
      </c>
    </row>
    <row r="10" spans="1:107" s="1353" customFormat="1" ht="14.5">
      <c r="A10" s="1550">
        <v>3</v>
      </c>
      <c r="B10" s="1560" t="s">
        <v>972</v>
      </c>
      <c r="C10" s="1561" t="s">
        <v>2071</v>
      </c>
      <c r="D10" s="1561" t="s">
        <v>4902</v>
      </c>
      <c r="E10" s="1561" t="s">
        <v>4903</v>
      </c>
      <c r="F10" s="1550" t="s">
        <v>4904</v>
      </c>
      <c r="G10" s="1550">
        <v>77</v>
      </c>
      <c r="H10" s="1550" t="s">
        <v>1859</v>
      </c>
      <c r="I10" s="1550" t="s">
        <v>970</v>
      </c>
      <c r="J10" s="1562">
        <v>2</v>
      </c>
      <c r="K10" s="1562">
        <v>1.5</v>
      </c>
      <c r="L10" s="1561" t="s">
        <v>4905</v>
      </c>
      <c r="M10" s="1563">
        <v>44287</v>
      </c>
    </row>
    <row r="11" spans="1:107" s="1353" customFormat="1" ht="14.5">
      <c r="A11" s="1550">
        <v>4</v>
      </c>
      <c r="B11" s="1560" t="s">
        <v>972</v>
      </c>
      <c r="C11" s="1561" t="s">
        <v>2078</v>
      </c>
      <c r="D11" s="1561" t="s">
        <v>629</v>
      </c>
      <c r="E11" s="1561" t="s">
        <v>4903</v>
      </c>
      <c r="F11" s="1550" t="s">
        <v>4904</v>
      </c>
      <c r="G11" s="1550">
        <v>92</v>
      </c>
      <c r="H11" s="1550" t="s">
        <v>1862</v>
      </c>
      <c r="I11" s="1550" t="s">
        <v>968</v>
      </c>
      <c r="J11" s="1562" t="s">
        <v>4797</v>
      </c>
      <c r="K11" s="1562" t="s">
        <v>4906</v>
      </c>
      <c r="L11" s="1561" t="s">
        <v>4907</v>
      </c>
      <c r="M11" s="1563">
        <v>44287</v>
      </c>
    </row>
    <row r="12" spans="1:107" s="1353" customFormat="1" ht="14.5">
      <c r="A12" s="1550">
        <v>5</v>
      </c>
      <c r="B12" s="1560" t="s">
        <v>972</v>
      </c>
      <c r="C12" s="1561" t="s">
        <v>2078</v>
      </c>
      <c r="D12" s="1561" t="s">
        <v>629</v>
      </c>
      <c r="E12" s="1561" t="s">
        <v>4903</v>
      </c>
      <c r="F12" s="1550" t="s">
        <v>4904</v>
      </c>
      <c r="G12" s="1550">
        <v>92</v>
      </c>
      <c r="H12" s="1550" t="s">
        <v>1862</v>
      </c>
      <c r="I12" s="1550" t="s">
        <v>980</v>
      </c>
      <c r="J12" s="1562" t="s">
        <v>4797</v>
      </c>
      <c r="K12" s="1562" t="s">
        <v>4906</v>
      </c>
      <c r="L12" s="1561" t="s">
        <v>4907</v>
      </c>
      <c r="M12" s="1563">
        <v>44287</v>
      </c>
    </row>
    <row r="13" spans="1:107" s="1353" customFormat="1" ht="14.5">
      <c r="A13" s="1550">
        <v>6</v>
      </c>
      <c r="B13" s="1560" t="s">
        <v>972</v>
      </c>
      <c r="C13" s="1561" t="s">
        <v>2078</v>
      </c>
      <c r="D13" s="1561" t="s">
        <v>629</v>
      </c>
      <c r="E13" s="1561" t="s">
        <v>4903</v>
      </c>
      <c r="F13" s="1550" t="s">
        <v>4904</v>
      </c>
      <c r="G13" s="1550">
        <v>92</v>
      </c>
      <c r="H13" s="1550" t="s">
        <v>1862</v>
      </c>
      <c r="I13" s="1550" t="s">
        <v>985</v>
      </c>
      <c r="J13" s="1562" t="s">
        <v>4797</v>
      </c>
      <c r="K13" s="1562" t="s">
        <v>4906</v>
      </c>
      <c r="L13" s="1561" t="s">
        <v>4907</v>
      </c>
      <c r="M13" s="1563">
        <v>44287</v>
      </c>
    </row>
    <row r="14" spans="1:107" s="1353" customFormat="1" ht="14.5">
      <c r="A14" s="1550">
        <v>7</v>
      </c>
      <c r="B14" s="1560" t="s">
        <v>972</v>
      </c>
      <c r="C14" s="1561" t="s">
        <v>2078</v>
      </c>
      <c r="D14" s="1561" t="s">
        <v>629</v>
      </c>
      <c r="E14" s="1561" t="s">
        <v>4903</v>
      </c>
      <c r="F14" s="1550" t="s">
        <v>4904</v>
      </c>
      <c r="G14" s="1550">
        <v>92</v>
      </c>
      <c r="H14" s="1550" t="s">
        <v>1862</v>
      </c>
      <c r="I14" s="1550" t="s">
        <v>958</v>
      </c>
      <c r="J14" s="1562" t="s">
        <v>4797</v>
      </c>
      <c r="K14" s="1562" t="s">
        <v>4906</v>
      </c>
      <c r="L14" s="1561" t="s">
        <v>4907</v>
      </c>
      <c r="M14" s="1563">
        <v>44287</v>
      </c>
    </row>
    <row r="15" spans="1:107" s="1353" customFormat="1" ht="14.5">
      <c r="A15" s="1550">
        <v>8</v>
      </c>
      <c r="B15" s="1560" t="s">
        <v>972</v>
      </c>
      <c r="C15" s="1561" t="s">
        <v>2078</v>
      </c>
      <c r="D15" s="1561" t="s">
        <v>629</v>
      </c>
      <c r="E15" s="1561" t="s">
        <v>4903</v>
      </c>
      <c r="F15" s="1550" t="s">
        <v>4904</v>
      </c>
      <c r="G15" s="1550">
        <v>92</v>
      </c>
      <c r="H15" s="1550" t="s">
        <v>1862</v>
      </c>
      <c r="I15" s="1550" t="s">
        <v>970</v>
      </c>
      <c r="J15" s="1562" t="s">
        <v>4797</v>
      </c>
      <c r="K15" s="1562" t="s">
        <v>4906</v>
      </c>
      <c r="L15" s="1561" t="s">
        <v>4907</v>
      </c>
      <c r="M15" s="1563">
        <v>44287</v>
      </c>
    </row>
    <row r="16" spans="1:107" s="1353" customFormat="1" ht="43.5">
      <c r="A16" s="1550">
        <v>9</v>
      </c>
      <c r="B16" s="1560" t="s">
        <v>972</v>
      </c>
      <c r="C16" s="1561" t="s">
        <v>2078</v>
      </c>
      <c r="D16" s="1561" t="s">
        <v>629</v>
      </c>
      <c r="E16" s="1561" t="s">
        <v>4903</v>
      </c>
      <c r="F16" s="1550" t="s">
        <v>4904</v>
      </c>
      <c r="G16" s="1550">
        <v>97</v>
      </c>
      <c r="H16" s="1564" t="s">
        <v>1908</v>
      </c>
      <c r="I16" s="1550" t="s">
        <v>1037</v>
      </c>
      <c r="J16" s="1562">
        <v>-0.28038099999999999</v>
      </c>
      <c r="K16" s="1562">
        <v>-0.7</v>
      </c>
      <c r="L16" s="1561" t="s">
        <v>4908</v>
      </c>
      <c r="M16" s="1563">
        <v>44287</v>
      </c>
    </row>
    <row r="17" spans="1:13" s="1353" customFormat="1" ht="14.5">
      <c r="A17" s="1550">
        <v>10</v>
      </c>
      <c r="B17" s="1560" t="s">
        <v>972</v>
      </c>
      <c r="C17" s="1561" t="s">
        <v>2078</v>
      </c>
      <c r="D17" s="1561" t="s">
        <v>629</v>
      </c>
      <c r="E17" s="1561" t="s">
        <v>4903</v>
      </c>
      <c r="F17" s="1550" t="s">
        <v>4904</v>
      </c>
      <c r="G17" s="1550">
        <v>100</v>
      </c>
      <c r="H17" s="1550" t="s">
        <v>1910</v>
      </c>
      <c r="I17" s="1550" t="s">
        <v>1037</v>
      </c>
      <c r="J17" s="1562">
        <v>-0.78239599999999998</v>
      </c>
      <c r="K17" s="1562" t="s">
        <v>4906</v>
      </c>
      <c r="L17" s="1561" t="s">
        <v>4909</v>
      </c>
      <c r="M17" s="1563">
        <v>44287</v>
      </c>
    </row>
    <row r="18" spans="1:13" s="1353" customFormat="1" ht="14.5">
      <c r="A18" s="1550">
        <v>11</v>
      </c>
      <c r="B18" s="1560" t="s">
        <v>972</v>
      </c>
      <c r="C18" s="1561" t="s">
        <v>2078</v>
      </c>
      <c r="D18" s="1561" t="s">
        <v>629</v>
      </c>
      <c r="E18" s="1561" t="s">
        <v>4903</v>
      </c>
      <c r="F18" s="1550" t="s">
        <v>4904</v>
      </c>
      <c r="G18" s="1550">
        <v>104</v>
      </c>
      <c r="H18" s="1550" t="s">
        <v>1914</v>
      </c>
      <c r="I18" s="1550" t="s">
        <v>1037</v>
      </c>
      <c r="J18" s="1562">
        <v>0.78239599999999998</v>
      </c>
      <c r="K18" s="1562" t="s">
        <v>4906</v>
      </c>
      <c r="L18" s="1561" t="s">
        <v>4909</v>
      </c>
      <c r="M18" s="1563">
        <v>44287</v>
      </c>
    </row>
    <row r="19" spans="1:13" s="1353" customFormat="1" ht="14.5">
      <c r="A19" s="1550">
        <v>12</v>
      </c>
      <c r="B19" s="1560" t="s">
        <v>972</v>
      </c>
      <c r="C19" s="1561" t="s">
        <v>2089</v>
      </c>
      <c r="D19" s="1561" t="s">
        <v>689</v>
      </c>
      <c r="E19" s="1561" t="s">
        <v>4903</v>
      </c>
      <c r="F19" s="1550" t="s">
        <v>4904</v>
      </c>
      <c r="G19" s="1550">
        <v>72</v>
      </c>
      <c r="H19" s="1550" t="s">
        <v>1858</v>
      </c>
      <c r="I19" s="1550" t="s">
        <v>968</v>
      </c>
      <c r="J19" s="1562">
        <v>36.756999999999998</v>
      </c>
      <c r="K19" s="1562">
        <v>41.6</v>
      </c>
      <c r="L19" s="1561" t="s">
        <v>4910</v>
      </c>
      <c r="M19" s="1563">
        <v>44287</v>
      </c>
    </row>
    <row r="20" spans="1:13" s="1353" customFormat="1" ht="14.5">
      <c r="A20" s="1550">
        <v>13</v>
      </c>
      <c r="B20" s="1560" t="s">
        <v>972</v>
      </c>
      <c r="C20" s="1561" t="s">
        <v>2089</v>
      </c>
      <c r="D20" s="1561" t="s">
        <v>689</v>
      </c>
      <c r="E20" s="1561" t="s">
        <v>4903</v>
      </c>
      <c r="F20" s="1550" t="s">
        <v>4904</v>
      </c>
      <c r="G20" s="1550">
        <v>72</v>
      </c>
      <c r="H20" s="1550" t="s">
        <v>1858</v>
      </c>
      <c r="I20" s="1550" t="s">
        <v>980</v>
      </c>
      <c r="J20" s="1562">
        <v>36.756999999999998</v>
      </c>
      <c r="K20" s="1562">
        <v>41.6</v>
      </c>
      <c r="L20" s="1561" t="s">
        <v>4910</v>
      </c>
      <c r="M20" s="1563">
        <v>44287</v>
      </c>
    </row>
    <row r="21" spans="1:13" s="1353" customFormat="1" ht="14.5">
      <c r="A21" s="1550">
        <v>14</v>
      </c>
      <c r="B21" s="1560" t="s">
        <v>972</v>
      </c>
      <c r="C21" s="1561" t="s">
        <v>2089</v>
      </c>
      <c r="D21" s="1561" t="s">
        <v>689</v>
      </c>
      <c r="E21" s="1561" t="s">
        <v>4903</v>
      </c>
      <c r="F21" s="1550" t="s">
        <v>4904</v>
      </c>
      <c r="G21" s="1550">
        <v>72</v>
      </c>
      <c r="H21" s="1550" t="s">
        <v>1858</v>
      </c>
      <c r="I21" s="1550" t="s">
        <v>985</v>
      </c>
      <c r="J21" s="1562">
        <v>36.756999999999998</v>
      </c>
      <c r="K21" s="1562">
        <v>41.6</v>
      </c>
      <c r="L21" s="1561" t="s">
        <v>4910</v>
      </c>
      <c r="M21" s="1563">
        <v>44287</v>
      </c>
    </row>
    <row r="22" spans="1:13" s="1353" customFormat="1" ht="14.5">
      <c r="A22" s="1550">
        <v>15</v>
      </c>
      <c r="B22" s="1560" t="s">
        <v>972</v>
      </c>
      <c r="C22" s="1561" t="s">
        <v>2089</v>
      </c>
      <c r="D22" s="1561" t="s">
        <v>689</v>
      </c>
      <c r="E22" s="1561" t="s">
        <v>4903</v>
      </c>
      <c r="F22" s="1550" t="s">
        <v>4904</v>
      </c>
      <c r="G22" s="1550">
        <v>72</v>
      </c>
      <c r="H22" s="1550" t="s">
        <v>1858</v>
      </c>
      <c r="I22" s="1550" t="s">
        <v>958</v>
      </c>
      <c r="J22" s="1562">
        <v>36.756999999999998</v>
      </c>
      <c r="K22" s="1562">
        <v>41.6</v>
      </c>
      <c r="L22" s="1561" t="s">
        <v>4910</v>
      </c>
      <c r="M22" s="1563">
        <v>44287</v>
      </c>
    </row>
    <row r="23" spans="1:13" s="1353" customFormat="1" ht="14.5">
      <c r="A23" s="1550">
        <v>16</v>
      </c>
      <c r="B23" s="1560" t="s">
        <v>972</v>
      </c>
      <c r="C23" s="1561" t="s">
        <v>2089</v>
      </c>
      <c r="D23" s="1561" t="s">
        <v>689</v>
      </c>
      <c r="E23" s="1561" t="s">
        <v>4903</v>
      </c>
      <c r="F23" s="1550" t="s">
        <v>4904</v>
      </c>
      <c r="G23" s="1550">
        <v>72</v>
      </c>
      <c r="H23" s="1550" t="s">
        <v>1858</v>
      </c>
      <c r="I23" s="1550" t="s">
        <v>970</v>
      </c>
      <c r="J23" s="1562">
        <v>36.756999999999998</v>
      </c>
      <c r="K23" s="1562">
        <v>41.6</v>
      </c>
      <c r="L23" s="1561" t="s">
        <v>4910</v>
      </c>
      <c r="M23" s="1563">
        <v>44287</v>
      </c>
    </row>
    <row r="24" spans="1:13" s="1353" customFormat="1" ht="14.5">
      <c r="A24" s="1550">
        <v>17</v>
      </c>
      <c r="B24" s="1560" t="s">
        <v>972</v>
      </c>
      <c r="C24" s="1561" t="s">
        <v>2100</v>
      </c>
      <c r="D24" s="1561" t="s">
        <v>4911</v>
      </c>
      <c r="E24" s="1561" t="s">
        <v>4903</v>
      </c>
      <c r="F24" s="1550" t="s">
        <v>4904</v>
      </c>
      <c r="G24" s="1550">
        <v>77</v>
      </c>
      <c r="H24" s="1550" t="s">
        <v>1859</v>
      </c>
      <c r="I24" s="1550" t="s">
        <v>968</v>
      </c>
      <c r="J24" s="1562" t="s">
        <v>4906</v>
      </c>
      <c r="K24" s="1562">
        <v>150.1</v>
      </c>
      <c r="L24" s="1561" t="s">
        <v>4912</v>
      </c>
      <c r="M24" s="1563">
        <v>44287</v>
      </c>
    </row>
    <row r="25" spans="1:13" s="1353" customFormat="1" ht="14.5">
      <c r="A25" s="1550">
        <v>18</v>
      </c>
      <c r="B25" s="1560" t="s">
        <v>972</v>
      </c>
      <c r="C25" s="1561" t="s">
        <v>2100</v>
      </c>
      <c r="D25" s="1561" t="s">
        <v>4911</v>
      </c>
      <c r="E25" s="1561" t="s">
        <v>4903</v>
      </c>
      <c r="F25" s="1550" t="s">
        <v>4904</v>
      </c>
      <c r="G25" s="1550">
        <v>77</v>
      </c>
      <c r="H25" s="1550" t="s">
        <v>1859</v>
      </c>
      <c r="I25" s="1550" t="s">
        <v>980</v>
      </c>
      <c r="J25" s="1562" t="s">
        <v>4906</v>
      </c>
      <c r="K25" s="1562">
        <v>148.1</v>
      </c>
      <c r="L25" s="1561" t="s">
        <v>4912</v>
      </c>
      <c r="M25" s="1563">
        <v>44287</v>
      </c>
    </row>
    <row r="26" spans="1:13" s="1353" customFormat="1" ht="14.5">
      <c r="A26" s="1550">
        <v>19</v>
      </c>
      <c r="B26" s="1560" t="s">
        <v>972</v>
      </c>
      <c r="C26" s="1561" t="s">
        <v>2100</v>
      </c>
      <c r="D26" s="1561" t="s">
        <v>4911</v>
      </c>
      <c r="E26" s="1561" t="s">
        <v>4903</v>
      </c>
      <c r="F26" s="1550" t="s">
        <v>4904</v>
      </c>
      <c r="G26" s="1550">
        <v>77</v>
      </c>
      <c r="H26" s="1550" t="s">
        <v>1859</v>
      </c>
      <c r="I26" s="1550" t="s">
        <v>985</v>
      </c>
      <c r="J26" s="1562" t="s">
        <v>4906</v>
      </c>
      <c r="K26" s="1562">
        <v>146.19999999999999</v>
      </c>
      <c r="L26" s="1561" t="s">
        <v>4912</v>
      </c>
      <c r="M26" s="1563">
        <v>44287</v>
      </c>
    </row>
    <row r="27" spans="1:13" s="1353" customFormat="1" ht="14.5">
      <c r="A27" s="1550">
        <v>20</v>
      </c>
      <c r="B27" s="1560" t="s">
        <v>972</v>
      </c>
      <c r="C27" s="1561" t="s">
        <v>2100</v>
      </c>
      <c r="D27" s="1561" t="s">
        <v>4911</v>
      </c>
      <c r="E27" s="1561" t="s">
        <v>4903</v>
      </c>
      <c r="F27" s="1550" t="s">
        <v>4904</v>
      </c>
      <c r="G27" s="1550">
        <v>77</v>
      </c>
      <c r="H27" s="1550" t="s">
        <v>1859</v>
      </c>
      <c r="I27" s="1550" t="s">
        <v>958</v>
      </c>
      <c r="J27" s="1562" t="s">
        <v>4906</v>
      </c>
      <c r="K27" s="1562">
        <v>144.19999999999999</v>
      </c>
      <c r="L27" s="1561" t="s">
        <v>4912</v>
      </c>
      <c r="M27" s="1563">
        <v>44287</v>
      </c>
    </row>
    <row r="28" spans="1:13" s="1353" customFormat="1" ht="14.5">
      <c r="A28" s="1550">
        <v>21</v>
      </c>
      <c r="B28" s="1560" t="s">
        <v>972</v>
      </c>
      <c r="C28" s="1561" t="s">
        <v>2100</v>
      </c>
      <c r="D28" s="1561" t="s">
        <v>4911</v>
      </c>
      <c r="E28" s="1561" t="s">
        <v>4903</v>
      </c>
      <c r="F28" s="1550" t="s">
        <v>4904</v>
      </c>
      <c r="G28" s="1550">
        <v>77</v>
      </c>
      <c r="H28" s="1550" t="s">
        <v>1859</v>
      </c>
      <c r="I28" s="1550" t="s">
        <v>970</v>
      </c>
      <c r="J28" s="1562" t="s">
        <v>4906</v>
      </c>
      <c r="K28" s="1562">
        <v>142.30000000000001</v>
      </c>
      <c r="L28" s="1561" t="s">
        <v>4912</v>
      </c>
      <c r="M28" s="1563">
        <v>44287</v>
      </c>
    </row>
    <row r="29" spans="1:13" s="1353" customFormat="1" ht="14.5">
      <c r="A29" s="1550">
        <v>22</v>
      </c>
      <c r="B29" s="1560" t="s">
        <v>972</v>
      </c>
      <c r="C29" s="1561" t="s">
        <v>2105</v>
      </c>
      <c r="D29" s="1561" t="s">
        <v>4913</v>
      </c>
      <c r="E29" s="1561" t="s">
        <v>4903</v>
      </c>
      <c r="F29" s="1550" t="s">
        <v>4904</v>
      </c>
      <c r="G29" s="1550">
        <v>77</v>
      </c>
      <c r="H29" s="1550" t="s">
        <v>1859</v>
      </c>
      <c r="I29" s="1550" t="s">
        <v>968</v>
      </c>
      <c r="J29" s="1562" t="s">
        <v>4906</v>
      </c>
      <c r="K29" s="1562">
        <v>2.81</v>
      </c>
      <c r="L29" s="1561" t="s">
        <v>4914</v>
      </c>
      <c r="M29" s="1563">
        <v>44287</v>
      </c>
    </row>
    <row r="30" spans="1:13" s="1353" customFormat="1" ht="14.5">
      <c r="A30" s="1550">
        <v>23</v>
      </c>
      <c r="B30" s="1560" t="s">
        <v>972</v>
      </c>
      <c r="C30" s="1561" t="s">
        <v>2105</v>
      </c>
      <c r="D30" s="1561" t="s">
        <v>4913</v>
      </c>
      <c r="E30" s="1561" t="s">
        <v>4903</v>
      </c>
      <c r="F30" s="1550" t="s">
        <v>4904</v>
      </c>
      <c r="G30" s="1550">
        <v>77</v>
      </c>
      <c r="H30" s="1550" t="s">
        <v>1859</v>
      </c>
      <c r="I30" s="1550" t="s">
        <v>980</v>
      </c>
      <c r="J30" s="1562" t="s">
        <v>4906</v>
      </c>
      <c r="K30" s="1562">
        <v>2.81</v>
      </c>
      <c r="L30" s="1561" t="s">
        <v>4914</v>
      </c>
      <c r="M30" s="1563">
        <v>44287</v>
      </c>
    </row>
    <row r="31" spans="1:13" s="1353" customFormat="1" ht="14.5">
      <c r="A31" s="1550">
        <v>24</v>
      </c>
      <c r="B31" s="1560" t="s">
        <v>972</v>
      </c>
      <c r="C31" s="1561" t="s">
        <v>2105</v>
      </c>
      <c r="D31" s="1561" t="s">
        <v>4913</v>
      </c>
      <c r="E31" s="1561" t="s">
        <v>4903</v>
      </c>
      <c r="F31" s="1550" t="s">
        <v>4904</v>
      </c>
      <c r="G31" s="1550">
        <v>77</v>
      </c>
      <c r="H31" s="1550" t="s">
        <v>1859</v>
      </c>
      <c r="I31" s="1550" t="s">
        <v>985</v>
      </c>
      <c r="J31" s="1562" t="s">
        <v>4906</v>
      </c>
      <c r="K31" s="1562">
        <v>2.81</v>
      </c>
      <c r="L31" s="1561" t="s">
        <v>4914</v>
      </c>
      <c r="M31" s="1563">
        <v>44287</v>
      </c>
    </row>
    <row r="32" spans="1:13" s="1353" customFormat="1" ht="14.5">
      <c r="A32" s="1550">
        <v>25</v>
      </c>
      <c r="B32" s="1560" t="s">
        <v>972</v>
      </c>
      <c r="C32" s="1561" t="s">
        <v>2105</v>
      </c>
      <c r="D32" s="1561" t="s">
        <v>4913</v>
      </c>
      <c r="E32" s="1561" t="s">
        <v>4903</v>
      </c>
      <c r="F32" s="1550" t="s">
        <v>4904</v>
      </c>
      <c r="G32" s="1550">
        <v>77</v>
      </c>
      <c r="H32" s="1550" t="s">
        <v>1859</v>
      </c>
      <c r="I32" s="1550" t="s">
        <v>958</v>
      </c>
      <c r="J32" s="1562" t="s">
        <v>4906</v>
      </c>
      <c r="K32" s="1562">
        <v>2.81</v>
      </c>
      <c r="L32" s="1561" t="s">
        <v>4914</v>
      </c>
      <c r="M32" s="1563">
        <v>44287</v>
      </c>
    </row>
    <row r="33" spans="1:13" s="1353" customFormat="1" ht="14.5">
      <c r="A33" s="1550">
        <v>26</v>
      </c>
      <c r="B33" s="1560" t="s">
        <v>972</v>
      </c>
      <c r="C33" s="1561" t="s">
        <v>2105</v>
      </c>
      <c r="D33" s="1561" t="s">
        <v>4913</v>
      </c>
      <c r="E33" s="1561" t="s">
        <v>4903</v>
      </c>
      <c r="F33" s="1550" t="s">
        <v>4904</v>
      </c>
      <c r="G33" s="1550">
        <v>77</v>
      </c>
      <c r="H33" s="1550" t="s">
        <v>1859</v>
      </c>
      <c r="I33" s="1550" t="s">
        <v>970</v>
      </c>
      <c r="J33" s="1562" t="s">
        <v>4906</v>
      </c>
      <c r="K33" s="1562">
        <v>2.81</v>
      </c>
      <c r="L33" s="1561" t="s">
        <v>4914</v>
      </c>
      <c r="M33" s="1563">
        <v>44287</v>
      </c>
    </row>
    <row r="34" spans="1:13" s="1353" customFormat="1" ht="14.5">
      <c r="A34" s="1565">
        <v>27</v>
      </c>
      <c r="B34" s="1566" t="s">
        <v>972</v>
      </c>
      <c r="C34" s="1567" t="s">
        <v>2138</v>
      </c>
      <c r="D34" s="1567" t="s">
        <v>2139</v>
      </c>
      <c r="E34" s="1567" t="s">
        <v>788</v>
      </c>
      <c r="F34" s="1565" t="s">
        <v>4904</v>
      </c>
      <c r="G34" s="1565">
        <v>41</v>
      </c>
      <c r="H34" s="1565" t="s">
        <v>4915</v>
      </c>
      <c r="I34" s="1565" t="s">
        <v>968</v>
      </c>
      <c r="J34" s="1568">
        <v>-87</v>
      </c>
      <c r="K34" s="1568">
        <v>0</v>
      </c>
      <c r="L34" s="1567" t="s">
        <v>4916</v>
      </c>
      <c r="M34" s="1569">
        <v>44225</v>
      </c>
    </row>
    <row r="35" spans="1:13" s="1353" customFormat="1" ht="14.5">
      <c r="A35" s="1565">
        <v>28</v>
      </c>
      <c r="B35" s="1566" t="s">
        <v>972</v>
      </c>
      <c r="C35" s="1567" t="s">
        <v>2138</v>
      </c>
      <c r="D35" s="1567" t="s">
        <v>2139</v>
      </c>
      <c r="E35" s="1567" t="s">
        <v>788</v>
      </c>
      <c r="F35" s="1565" t="s">
        <v>4904</v>
      </c>
      <c r="G35" s="1565">
        <v>41</v>
      </c>
      <c r="H35" s="1565" t="s">
        <v>4915</v>
      </c>
      <c r="I35" s="1565" t="s">
        <v>980</v>
      </c>
      <c r="J35" s="1568">
        <v>-87</v>
      </c>
      <c r="K35" s="1568">
        <v>0</v>
      </c>
      <c r="L35" s="1567" t="s">
        <v>4916</v>
      </c>
      <c r="M35" s="1569">
        <v>44225</v>
      </c>
    </row>
    <row r="36" spans="1:13" s="1353" customFormat="1" ht="14.5">
      <c r="A36" s="1565">
        <v>29</v>
      </c>
      <c r="B36" s="1566" t="s">
        <v>972</v>
      </c>
      <c r="C36" s="1567" t="s">
        <v>2138</v>
      </c>
      <c r="D36" s="1567" t="s">
        <v>2139</v>
      </c>
      <c r="E36" s="1567" t="s">
        <v>788</v>
      </c>
      <c r="F36" s="1565" t="s">
        <v>4904</v>
      </c>
      <c r="G36" s="1565">
        <v>41</v>
      </c>
      <c r="H36" s="1565" t="s">
        <v>4915</v>
      </c>
      <c r="I36" s="1565" t="s">
        <v>985</v>
      </c>
      <c r="J36" s="1568">
        <v>-87</v>
      </c>
      <c r="K36" s="1568">
        <v>0</v>
      </c>
      <c r="L36" s="1567" t="s">
        <v>4916</v>
      </c>
      <c r="M36" s="1569">
        <v>44225</v>
      </c>
    </row>
    <row r="37" spans="1:13" s="1353" customFormat="1" ht="14.5">
      <c r="A37" s="1565">
        <v>30</v>
      </c>
      <c r="B37" s="1566" t="s">
        <v>972</v>
      </c>
      <c r="C37" s="1567" t="s">
        <v>2138</v>
      </c>
      <c r="D37" s="1567" t="s">
        <v>2139</v>
      </c>
      <c r="E37" s="1567" t="s">
        <v>788</v>
      </c>
      <c r="F37" s="1565" t="s">
        <v>4904</v>
      </c>
      <c r="G37" s="1565">
        <v>41</v>
      </c>
      <c r="H37" s="1565" t="s">
        <v>4915</v>
      </c>
      <c r="I37" s="1565" t="s">
        <v>958</v>
      </c>
      <c r="J37" s="1568">
        <v>-87</v>
      </c>
      <c r="K37" s="1568">
        <v>0</v>
      </c>
      <c r="L37" s="1567" t="s">
        <v>4916</v>
      </c>
      <c r="M37" s="1569">
        <v>44225</v>
      </c>
    </row>
    <row r="38" spans="1:13" s="1353" customFormat="1" ht="14.5">
      <c r="A38" s="1565">
        <v>31</v>
      </c>
      <c r="B38" s="1566" t="s">
        <v>972</v>
      </c>
      <c r="C38" s="1567" t="s">
        <v>2138</v>
      </c>
      <c r="D38" s="1567" t="s">
        <v>2139</v>
      </c>
      <c r="E38" s="1567" t="s">
        <v>788</v>
      </c>
      <c r="F38" s="1565" t="s">
        <v>4904</v>
      </c>
      <c r="G38" s="1565">
        <v>41</v>
      </c>
      <c r="H38" s="1565" t="s">
        <v>4915</v>
      </c>
      <c r="I38" s="1565" t="s">
        <v>970</v>
      </c>
      <c r="J38" s="1568">
        <v>-87</v>
      </c>
      <c r="K38" s="1568">
        <v>0</v>
      </c>
      <c r="L38" s="1567" t="s">
        <v>4916</v>
      </c>
      <c r="M38" s="1569">
        <v>44225</v>
      </c>
    </row>
    <row r="39" spans="1:13" s="1353" customFormat="1" ht="14.5">
      <c r="A39" s="1565">
        <v>32</v>
      </c>
      <c r="B39" s="1566" t="s">
        <v>972</v>
      </c>
      <c r="C39" s="1567" t="s">
        <v>2138</v>
      </c>
      <c r="D39" s="1567" t="s">
        <v>2139</v>
      </c>
      <c r="E39" s="1567" t="s">
        <v>788</v>
      </c>
      <c r="F39" s="1565" t="s">
        <v>4904</v>
      </c>
      <c r="G39" s="1565">
        <v>72</v>
      </c>
      <c r="H39" s="1565" t="s">
        <v>1858</v>
      </c>
      <c r="I39" s="1565" t="s">
        <v>968</v>
      </c>
      <c r="J39" s="1568">
        <v>2634</v>
      </c>
      <c r="K39" s="1568">
        <v>648</v>
      </c>
      <c r="L39" s="1567" t="s">
        <v>4916</v>
      </c>
      <c r="M39" s="1569">
        <v>44225</v>
      </c>
    </row>
    <row r="40" spans="1:13" s="1353" customFormat="1" ht="14.5">
      <c r="A40" s="1565">
        <v>33</v>
      </c>
      <c r="B40" s="1566" t="s">
        <v>972</v>
      </c>
      <c r="C40" s="1567" t="s">
        <v>2138</v>
      </c>
      <c r="D40" s="1567" t="s">
        <v>2139</v>
      </c>
      <c r="E40" s="1567" t="s">
        <v>788</v>
      </c>
      <c r="F40" s="1565" t="s">
        <v>4904</v>
      </c>
      <c r="G40" s="1565">
        <v>72</v>
      </c>
      <c r="H40" s="1565" t="s">
        <v>1858</v>
      </c>
      <c r="I40" s="1565" t="s">
        <v>980</v>
      </c>
      <c r="J40" s="1568">
        <v>2634</v>
      </c>
      <c r="K40" s="1568">
        <v>648</v>
      </c>
      <c r="L40" s="1567" t="s">
        <v>4916</v>
      </c>
      <c r="M40" s="1569">
        <v>44225</v>
      </c>
    </row>
    <row r="41" spans="1:13" s="1353" customFormat="1" ht="14.5">
      <c r="A41" s="1565">
        <v>34</v>
      </c>
      <c r="B41" s="1566" t="s">
        <v>972</v>
      </c>
      <c r="C41" s="1567" t="s">
        <v>2138</v>
      </c>
      <c r="D41" s="1567" t="s">
        <v>2139</v>
      </c>
      <c r="E41" s="1567" t="s">
        <v>788</v>
      </c>
      <c r="F41" s="1565" t="s">
        <v>4904</v>
      </c>
      <c r="G41" s="1565">
        <v>72</v>
      </c>
      <c r="H41" s="1565" t="s">
        <v>1858</v>
      </c>
      <c r="I41" s="1565" t="s">
        <v>985</v>
      </c>
      <c r="J41" s="1568">
        <v>2634</v>
      </c>
      <c r="K41" s="1568">
        <v>648</v>
      </c>
      <c r="L41" s="1567" t="s">
        <v>4916</v>
      </c>
      <c r="M41" s="1569">
        <v>44225</v>
      </c>
    </row>
    <row r="42" spans="1:13" s="1353" customFormat="1" ht="14.5">
      <c r="A42" s="1565">
        <v>35</v>
      </c>
      <c r="B42" s="1566" t="s">
        <v>972</v>
      </c>
      <c r="C42" s="1567" t="s">
        <v>2138</v>
      </c>
      <c r="D42" s="1567" t="s">
        <v>2139</v>
      </c>
      <c r="E42" s="1567" t="s">
        <v>788</v>
      </c>
      <c r="F42" s="1565" t="s">
        <v>4904</v>
      </c>
      <c r="G42" s="1565">
        <v>72</v>
      </c>
      <c r="H42" s="1565" t="s">
        <v>1858</v>
      </c>
      <c r="I42" s="1565" t="s">
        <v>958</v>
      </c>
      <c r="J42" s="1568">
        <v>2634</v>
      </c>
      <c r="K42" s="1568">
        <v>648</v>
      </c>
      <c r="L42" s="1567" t="s">
        <v>4916</v>
      </c>
      <c r="M42" s="1569">
        <v>44225</v>
      </c>
    </row>
    <row r="43" spans="1:13" s="1353" customFormat="1" ht="14.5">
      <c r="A43" s="1565">
        <v>36</v>
      </c>
      <c r="B43" s="1566" t="s">
        <v>972</v>
      </c>
      <c r="C43" s="1567" t="s">
        <v>2138</v>
      </c>
      <c r="D43" s="1567" t="s">
        <v>2139</v>
      </c>
      <c r="E43" s="1567" t="s">
        <v>788</v>
      </c>
      <c r="F43" s="1565" t="s">
        <v>4904</v>
      </c>
      <c r="G43" s="1565">
        <v>72</v>
      </c>
      <c r="H43" s="1565" t="s">
        <v>1858</v>
      </c>
      <c r="I43" s="1565" t="s">
        <v>970</v>
      </c>
      <c r="J43" s="1568">
        <v>2634</v>
      </c>
      <c r="K43" s="1568">
        <v>648</v>
      </c>
      <c r="L43" s="1567" t="s">
        <v>4916</v>
      </c>
      <c r="M43" s="1569">
        <v>44225</v>
      </c>
    </row>
    <row r="44" spans="1:13" s="1353" customFormat="1" ht="14.5">
      <c r="A44" s="1565">
        <v>37</v>
      </c>
      <c r="B44" s="1566" t="s">
        <v>972</v>
      </c>
      <c r="C44" s="1567" t="s">
        <v>2138</v>
      </c>
      <c r="D44" s="1567" t="s">
        <v>2139</v>
      </c>
      <c r="E44" s="1567" t="s">
        <v>788</v>
      </c>
      <c r="F44" s="1565" t="s">
        <v>4904</v>
      </c>
      <c r="G44" s="1565">
        <v>87</v>
      </c>
      <c r="H44" s="1565" t="s">
        <v>1861</v>
      </c>
      <c r="I44" s="1565" t="s">
        <v>968</v>
      </c>
      <c r="J44" s="1568">
        <v>-8886</v>
      </c>
      <c r="K44" s="1568">
        <v>-1848</v>
      </c>
      <c r="L44" s="1567" t="s">
        <v>4916</v>
      </c>
      <c r="M44" s="1569">
        <v>44225</v>
      </c>
    </row>
    <row r="45" spans="1:13" s="1353" customFormat="1" ht="14.5">
      <c r="A45" s="1565">
        <v>38</v>
      </c>
      <c r="B45" s="1566" t="s">
        <v>972</v>
      </c>
      <c r="C45" s="1567" t="s">
        <v>2138</v>
      </c>
      <c r="D45" s="1567" t="s">
        <v>2139</v>
      </c>
      <c r="E45" s="1567" t="s">
        <v>788</v>
      </c>
      <c r="F45" s="1565" t="s">
        <v>4904</v>
      </c>
      <c r="G45" s="1565">
        <v>87</v>
      </c>
      <c r="H45" s="1565" t="s">
        <v>1861</v>
      </c>
      <c r="I45" s="1565" t="s">
        <v>980</v>
      </c>
      <c r="J45" s="1568">
        <v>-8886</v>
      </c>
      <c r="K45" s="1568">
        <v>-1848</v>
      </c>
      <c r="L45" s="1567" t="s">
        <v>4916</v>
      </c>
      <c r="M45" s="1569">
        <v>44225</v>
      </c>
    </row>
    <row r="46" spans="1:13" s="1353" customFormat="1" ht="14.5">
      <c r="A46" s="1565">
        <v>39</v>
      </c>
      <c r="B46" s="1566" t="s">
        <v>972</v>
      </c>
      <c r="C46" s="1567" t="s">
        <v>2138</v>
      </c>
      <c r="D46" s="1567" t="s">
        <v>2139</v>
      </c>
      <c r="E46" s="1567" t="s">
        <v>788</v>
      </c>
      <c r="F46" s="1565" t="s">
        <v>4904</v>
      </c>
      <c r="G46" s="1565">
        <v>87</v>
      </c>
      <c r="H46" s="1565" t="s">
        <v>1861</v>
      </c>
      <c r="I46" s="1565" t="s">
        <v>985</v>
      </c>
      <c r="J46" s="1568">
        <v>-8886</v>
      </c>
      <c r="K46" s="1568">
        <v>-1848</v>
      </c>
      <c r="L46" s="1567" t="s">
        <v>4916</v>
      </c>
      <c r="M46" s="1569">
        <v>44225</v>
      </c>
    </row>
    <row r="47" spans="1:13" s="1353" customFormat="1" ht="14.5">
      <c r="A47" s="1565">
        <v>40</v>
      </c>
      <c r="B47" s="1566" t="s">
        <v>972</v>
      </c>
      <c r="C47" s="1567" t="s">
        <v>2138</v>
      </c>
      <c r="D47" s="1567" t="s">
        <v>2139</v>
      </c>
      <c r="E47" s="1567" t="s">
        <v>788</v>
      </c>
      <c r="F47" s="1565" t="s">
        <v>4904</v>
      </c>
      <c r="G47" s="1565">
        <v>87</v>
      </c>
      <c r="H47" s="1565" t="s">
        <v>1861</v>
      </c>
      <c r="I47" s="1565" t="s">
        <v>958</v>
      </c>
      <c r="J47" s="1568">
        <v>-8886</v>
      </c>
      <c r="K47" s="1568">
        <v>-1848</v>
      </c>
      <c r="L47" s="1567" t="s">
        <v>4916</v>
      </c>
      <c r="M47" s="1569">
        <v>44225</v>
      </c>
    </row>
    <row r="48" spans="1:13" s="1353" customFormat="1" ht="14.5">
      <c r="A48" s="1565">
        <v>41</v>
      </c>
      <c r="B48" s="1566" t="s">
        <v>972</v>
      </c>
      <c r="C48" s="1567" t="s">
        <v>2138</v>
      </c>
      <c r="D48" s="1567" t="s">
        <v>2139</v>
      </c>
      <c r="E48" s="1567" t="s">
        <v>788</v>
      </c>
      <c r="F48" s="1565" t="s">
        <v>4904</v>
      </c>
      <c r="G48" s="1565">
        <v>87</v>
      </c>
      <c r="H48" s="1565" t="s">
        <v>1861</v>
      </c>
      <c r="I48" s="1565" t="s">
        <v>970</v>
      </c>
      <c r="J48" s="1568">
        <v>-8886</v>
      </c>
      <c r="K48" s="1568">
        <v>-1848</v>
      </c>
      <c r="L48" s="1567" t="s">
        <v>4916</v>
      </c>
      <c r="M48" s="1569">
        <v>44225</v>
      </c>
    </row>
    <row r="49" spans="1:13" s="1353" customFormat="1" ht="43.5">
      <c r="A49" s="1550">
        <v>42</v>
      </c>
      <c r="B49" s="1560" t="s">
        <v>972</v>
      </c>
      <c r="C49" s="1561" t="s">
        <v>2192</v>
      </c>
      <c r="D49" s="1561" t="s">
        <v>2193</v>
      </c>
      <c r="E49" s="1561" t="s">
        <v>4903</v>
      </c>
      <c r="F49" s="1550" t="s">
        <v>4904</v>
      </c>
      <c r="G49" s="1550">
        <v>97</v>
      </c>
      <c r="H49" s="1564" t="s">
        <v>1907</v>
      </c>
      <c r="I49" s="1550" t="s">
        <v>1037</v>
      </c>
      <c r="J49" s="1570">
        <v>-1.4E-5</v>
      </c>
      <c r="K49" s="1570">
        <v>-3.0000000000000001E-5</v>
      </c>
      <c r="L49" s="1561" t="s">
        <v>4917</v>
      </c>
      <c r="M49" s="1563">
        <v>44287</v>
      </c>
    </row>
    <row r="50" spans="1:13" s="1353" customFormat="1" ht="14.5">
      <c r="A50" s="1550">
        <v>43</v>
      </c>
      <c r="B50" s="1560" t="s">
        <v>972</v>
      </c>
      <c r="C50" s="1561" t="s">
        <v>1127</v>
      </c>
      <c r="D50" s="1561" t="s">
        <v>1126</v>
      </c>
      <c r="E50" s="1561" t="s">
        <v>4903</v>
      </c>
      <c r="F50" s="1550" t="s">
        <v>4904</v>
      </c>
      <c r="G50" s="1550">
        <v>41</v>
      </c>
      <c r="H50" s="1550" t="s">
        <v>4915</v>
      </c>
      <c r="I50" s="1550" t="s">
        <v>970</v>
      </c>
      <c r="J50" s="1562">
        <v>355.2</v>
      </c>
      <c r="K50" s="1562">
        <v>382.4</v>
      </c>
      <c r="L50" s="1561" t="s">
        <v>4918</v>
      </c>
      <c r="M50" s="1563">
        <v>44287</v>
      </c>
    </row>
    <row r="51" spans="1:13" s="1353" customFormat="1" ht="87">
      <c r="A51" s="1550">
        <v>44</v>
      </c>
      <c r="B51" s="1560" t="s">
        <v>972</v>
      </c>
      <c r="C51" s="1561" t="s">
        <v>1127</v>
      </c>
      <c r="D51" s="1561" t="s">
        <v>1126</v>
      </c>
      <c r="E51" s="1561" t="s">
        <v>4903</v>
      </c>
      <c r="F51" s="1550" t="s">
        <v>4904</v>
      </c>
      <c r="G51" s="1550">
        <v>97</v>
      </c>
      <c r="H51" s="1564" t="s">
        <v>1907</v>
      </c>
      <c r="I51" s="1550" t="s">
        <v>1037</v>
      </c>
      <c r="J51" s="1571">
        <v>-6.83E-2</v>
      </c>
      <c r="K51" s="1571">
        <v>-0.46</v>
      </c>
      <c r="L51" s="1561" t="s">
        <v>4919</v>
      </c>
      <c r="M51" s="1563">
        <v>44287</v>
      </c>
    </row>
    <row r="52" spans="1:13" s="1353" customFormat="1" ht="29">
      <c r="A52" s="1550">
        <v>45</v>
      </c>
      <c r="B52" s="1560" t="s">
        <v>972</v>
      </c>
      <c r="C52" s="1561" t="s">
        <v>2199</v>
      </c>
      <c r="D52" s="1561" t="s">
        <v>2200</v>
      </c>
      <c r="E52" s="1561" t="s">
        <v>4903</v>
      </c>
      <c r="F52" s="1550" t="s">
        <v>4904</v>
      </c>
      <c r="G52" s="1550">
        <v>97</v>
      </c>
      <c r="H52" s="1564" t="s">
        <v>1907</v>
      </c>
      <c r="I52" s="1550" t="s">
        <v>1037</v>
      </c>
      <c r="J52" s="1571">
        <v>-4.3099999999999999E-2</v>
      </c>
      <c r="K52" s="1571">
        <v>-6.4799999999999996E-2</v>
      </c>
      <c r="L52" s="1561" t="s">
        <v>4920</v>
      </c>
      <c r="M52" s="1563">
        <v>44287</v>
      </c>
    </row>
    <row r="53" spans="1:13" s="1353" customFormat="1" ht="29">
      <c r="A53" s="1550">
        <v>46</v>
      </c>
      <c r="B53" s="1560" t="s">
        <v>972</v>
      </c>
      <c r="C53" s="1561" t="s">
        <v>2202</v>
      </c>
      <c r="D53" s="1561" t="s">
        <v>2203</v>
      </c>
      <c r="E53" s="1561" t="s">
        <v>4903</v>
      </c>
      <c r="F53" s="1550" t="s">
        <v>4904</v>
      </c>
      <c r="G53" s="1550">
        <v>97</v>
      </c>
      <c r="H53" s="1564" t="s">
        <v>1907</v>
      </c>
      <c r="I53" s="1550" t="s">
        <v>1037</v>
      </c>
      <c r="J53" s="1571">
        <v>-4.6199999999999998E-2</v>
      </c>
      <c r="K53" s="1571">
        <v>-5.9499999999999997E-2</v>
      </c>
      <c r="L53" s="1561" t="s">
        <v>4921</v>
      </c>
      <c r="M53" s="1563">
        <v>44287</v>
      </c>
    </row>
    <row r="54" spans="1:13" s="1353" customFormat="1" ht="14.5">
      <c r="A54" s="1550">
        <v>47</v>
      </c>
      <c r="B54" s="1560" t="s">
        <v>1022</v>
      </c>
      <c r="C54" s="1561" t="s">
        <v>2223</v>
      </c>
      <c r="D54" s="1561" t="s">
        <v>4902</v>
      </c>
      <c r="E54" s="1561" t="s">
        <v>4903</v>
      </c>
      <c r="F54" s="1550" t="s">
        <v>4904</v>
      </c>
      <c r="G54" s="1550">
        <v>77</v>
      </c>
      <c r="H54" s="1550" t="s">
        <v>1859</v>
      </c>
      <c r="I54" s="1550" t="s">
        <v>985</v>
      </c>
      <c r="J54" s="1572">
        <v>2</v>
      </c>
      <c r="K54" s="1572">
        <v>1.5</v>
      </c>
      <c r="L54" s="1561" t="s">
        <v>4905</v>
      </c>
      <c r="M54" s="1563">
        <v>44287</v>
      </c>
    </row>
    <row r="55" spans="1:13" s="1353" customFormat="1" ht="14.5">
      <c r="A55" s="1550">
        <v>48</v>
      </c>
      <c r="B55" s="1560" t="s">
        <v>1022</v>
      </c>
      <c r="C55" s="1561" t="s">
        <v>2223</v>
      </c>
      <c r="D55" s="1561" t="s">
        <v>4902</v>
      </c>
      <c r="E55" s="1561" t="s">
        <v>4903</v>
      </c>
      <c r="F55" s="1550" t="s">
        <v>4904</v>
      </c>
      <c r="G55" s="1550">
        <v>77</v>
      </c>
      <c r="H55" s="1550" t="s">
        <v>1859</v>
      </c>
      <c r="I55" s="1550" t="s">
        <v>958</v>
      </c>
      <c r="J55" s="1572">
        <v>2</v>
      </c>
      <c r="K55" s="1572">
        <v>1.5</v>
      </c>
      <c r="L55" s="1561" t="s">
        <v>4905</v>
      </c>
      <c r="M55" s="1563">
        <v>44287</v>
      </c>
    </row>
    <row r="56" spans="1:13" s="1353" customFormat="1" ht="14.5">
      <c r="A56" s="1550">
        <v>49</v>
      </c>
      <c r="B56" s="1560" t="s">
        <v>1022</v>
      </c>
      <c r="C56" s="1561" t="s">
        <v>2223</v>
      </c>
      <c r="D56" s="1561" t="s">
        <v>4902</v>
      </c>
      <c r="E56" s="1561" t="s">
        <v>4903</v>
      </c>
      <c r="F56" s="1550" t="s">
        <v>4904</v>
      </c>
      <c r="G56" s="1550">
        <v>77</v>
      </c>
      <c r="H56" s="1550" t="s">
        <v>1859</v>
      </c>
      <c r="I56" s="1550" t="s">
        <v>970</v>
      </c>
      <c r="J56" s="1572">
        <v>2</v>
      </c>
      <c r="K56" s="1572">
        <v>1.5</v>
      </c>
      <c r="L56" s="1561" t="s">
        <v>4905</v>
      </c>
      <c r="M56" s="1563">
        <v>44287</v>
      </c>
    </row>
    <row r="57" spans="1:13" s="1353" customFormat="1" ht="14.5">
      <c r="A57" s="1550">
        <v>50</v>
      </c>
      <c r="B57" s="1560" t="s">
        <v>1022</v>
      </c>
      <c r="C57" s="1561" t="s">
        <v>2231</v>
      </c>
      <c r="D57" s="1561" t="s">
        <v>4911</v>
      </c>
      <c r="E57" s="1561" t="s">
        <v>4903</v>
      </c>
      <c r="F57" s="1550" t="s">
        <v>4904</v>
      </c>
      <c r="G57" s="1550">
        <v>77</v>
      </c>
      <c r="H57" s="1550" t="s">
        <v>1859</v>
      </c>
      <c r="I57" s="1550" t="s">
        <v>968</v>
      </c>
      <c r="J57" s="1562" t="s">
        <v>4906</v>
      </c>
      <c r="K57" s="1573">
        <v>148.4</v>
      </c>
      <c r="L57" s="1561" t="s">
        <v>4912</v>
      </c>
      <c r="M57" s="1563">
        <v>44287</v>
      </c>
    </row>
    <row r="58" spans="1:13" s="1353" customFormat="1" ht="14.5">
      <c r="A58" s="1550">
        <v>51</v>
      </c>
      <c r="B58" s="1560" t="s">
        <v>1022</v>
      </c>
      <c r="C58" s="1561" t="s">
        <v>2231</v>
      </c>
      <c r="D58" s="1561" t="s">
        <v>4911</v>
      </c>
      <c r="E58" s="1561" t="s">
        <v>4903</v>
      </c>
      <c r="F58" s="1550" t="s">
        <v>4904</v>
      </c>
      <c r="G58" s="1550">
        <v>77</v>
      </c>
      <c r="H58" s="1550" t="s">
        <v>1859</v>
      </c>
      <c r="I58" s="1550" t="s">
        <v>980</v>
      </c>
      <c r="J58" s="1562" t="s">
        <v>4906</v>
      </c>
      <c r="K58" s="1573">
        <v>146.5</v>
      </c>
      <c r="L58" s="1561" t="s">
        <v>4912</v>
      </c>
      <c r="M58" s="1563">
        <v>44287</v>
      </c>
    </row>
    <row r="59" spans="1:13" s="1353" customFormat="1" ht="14.5">
      <c r="A59" s="1550">
        <v>52</v>
      </c>
      <c r="B59" s="1560" t="s">
        <v>1022</v>
      </c>
      <c r="C59" s="1561" t="s">
        <v>2231</v>
      </c>
      <c r="D59" s="1561" t="s">
        <v>4911</v>
      </c>
      <c r="E59" s="1561" t="s">
        <v>4903</v>
      </c>
      <c r="F59" s="1550" t="s">
        <v>4904</v>
      </c>
      <c r="G59" s="1550">
        <v>77</v>
      </c>
      <c r="H59" s="1550" t="s">
        <v>1859</v>
      </c>
      <c r="I59" s="1550" t="s">
        <v>985</v>
      </c>
      <c r="J59" s="1562" t="s">
        <v>4906</v>
      </c>
      <c r="K59" s="1573">
        <v>144.6</v>
      </c>
      <c r="L59" s="1561" t="s">
        <v>4912</v>
      </c>
      <c r="M59" s="1563">
        <v>44287</v>
      </c>
    </row>
    <row r="60" spans="1:13" s="1353" customFormat="1" ht="14.5">
      <c r="A60" s="1550">
        <v>53</v>
      </c>
      <c r="B60" s="1560" t="s">
        <v>1022</v>
      </c>
      <c r="C60" s="1561" t="s">
        <v>2231</v>
      </c>
      <c r="D60" s="1561" t="s">
        <v>4911</v>
      </c>
      <c r="E60" s="1561" t="s">
        <v>4903</v>
      </c>
      <c r="F60" s="1550" t="s">
        <v>4904</v>
      </c>
      <c r="G60" s="1550">
        <v>77</v>
      </c>
      <c r="H60" s="1550" t="s">
        <v>1859</v>
      </c>
      <c r="I60" s="1550" t="s">
        <v>958</v>
      </c>
      <c r="J60" s="1562" t="s">
        <v>4906</v>
      </c>
      <c r="K60" s="1573">
        <v>142.69999999999999</v>
      </c>
      <c r="L60" s="1561" t="s">
        <v>4912</v>
      </c>
      <c r="M60" s="1563">
        <v>44287</v>
      </c>
    </row>
    <row r="61" spans="1:13" s="1353" customFormat="1" ht="14.5">
      <c r="A61" s="1550">
        <v>54</v>
      </c>
      <c r="B61" s="1560" t="s">
        <v>1022</v>
      </c>
      <c r="C61" s="1561" t="s">
        <v>2231</v>
      </c>
      <c r="D61" s="1561" t="s">
        <v>4911</v>
      </c>
      <c r="E61" s="1561" t="s">
        <v>4903</v>
      </c>
      <c r="F61" s="1550" t="s">
        <v>4904</v>
      </c>
      <c r="G61" s="1550">
        <v>77</v>
      </c>
      <c r="H61" s="1550" t="s">
        <v>1859</v>
      </c>
      <c r="I61" s="1550" t="s">
        <v>970</v>
      </c>
      <c r="J61" s="1562" t="s">
        <v>4906</v>
      </c>
      <c r="K61" s="1573">
        <v>140.69999999999999</v>
      </c>
      <c r="L61" s="1561" t="s">
        <v>4912</v>
      </c>
      <c r="M61" s="1563">
        <v>44287</v>
      </c>
    </row>
    <row r="62" spans="1:13" s="1353" customFormat="1" ht="14.5">
      <c r="A62" s="1550">
        <v>55</v>
      </c>
      <c r="B62" s="1560" t="s">
        <v>1022</v>
      </c>
      <c r="C62" s="1561" t="s">
        <v>2235</v>
      </c>
      <c r="D62" s="1561" t="s">
        <v>4913</v>
      </c>
      <c r="E62" s="1561" t="s">
        <v>4903</v>
      </c>
      <c r="F62" s="1550" t="s">
        <v>4904</v>
      </c>
      <c r="G62" s="1550">
        <v>77</v>
      </c>
      <c r="H62" s="1550" t="s">
        <v>1859</v>
      </c>
      <c r="I62" s="1550" t="s">
        <v>968</v>
      </c>
      <c r="J62" s="1562" t="s">
        <v>4906</v>
      </c>
      <c r="K62" s="1572">
        <v>2.81</v>
      </c>
      <c r="L62" s="1561" t="s">
        <v>4914</v>
      </c>
      <c r="M62" s="1563">
        <v>44287</v>
      </c>
    </row>
    <row r="63" spans="1:13" s="1353" customFormat="1" ht="14.5">
      <c r="A63" s="1550">
        <v>56</v>
      </c>
      <c r="B63" s="1560" t="s">
        <v>1022</v>
      </c>
      <c r="C63" s="1561" t="s">
        <v>2235</v>
      </c>
      <c r="D63" s="1561" t="s">
        <v>4913</v>
      </c>
      <c r="E63" s="1561" t="s">
        <v>4903</v>
      </c>
      <c r="F63" s="1550" t="s">
        <v>4904</v>
      </c>
      <c r="G63" s="1550">
        <v>77</v>
      </c>
      <c r="H63" s="1550" t="s">
        <v>1859</v>
      </c>
      <c r="I63" s="1550" t="s">
        <v>980</v>
      </c>
      <c r="J63" s="1562" t="s">
        <v>4906</v>
      </c>
      <c r="K63" s="1572">
        <v>2.81</v>
      </c>
      <c r="L63" s="1561" t="s">
        <v>4914</v>
      </c>
      <c r="M63" s="1563">
        <v>44287</v>
      </c>
    </row>
    <row r="64" spans="1:13" s="1353" customFormat="1" ht="14.5">
      <c r="A64" s="1550">
        <v>57</v>
      </c>
      <c r="B64" s="1560" t="s">
        <v>1022</v>
      </c>
      <c r="C64" s="1561" t="s">
        <v>2235</v>
      </c>
      <c r="D64" s="1561" t="s">
        <v>4913</v>
      </c>
      <c r="E64" s="1561" t="s">
        <v>4903</v>
      </c>
      <c r="F64" s="1550" t="s">
        <v>4904</v>
      </c>
      <c r="G64" s="1550">
        <v>77</v>
      </c>
      <c r="H64" s="1550" t="s">
        <v>1859</v>
      </c>
      <c r="I64" s="1550" t="s">
        <v>985</v>
      </c>
      <c r="J64" s="1562" t="s">
        <v>4906</v>
      </c>
      <c r="K64" s="1572">
        <v>2.81</v>
      </c>
      <c r="L64" s="1561" t="s">
        <v>4914</v>
      </c>
      <c r="M64" s="1563">
        <v>44287</v>
      </c>
    </row>
    <row r="65" spans="1:13" s="1353" customFormat="1" ht="14.5">
      <c r="A65" s="1550">
        <v>58</v>
      </c>
      <c r="B65" s="1560" t="s">
        <v>1022</v>
      </c>
      <c r="C65" s="1561" t="s">
        <v>2235</v>
      </c>
      <c r="D65" s="1561" t="s">
        <v>4913</v>
      </c>
      <c r="E65" s="1561" t="s">
        <v>4903</v>
      </c>
      <c r="F65" s="1550" t="s">
        <v>4904</v>
      </c>
      <c r="G65" s="1550">
        <v>77</v>
      </c>
      <c r="H65" s="1550" t="s">
        <v>1859</v>
      </c>
      <c r="I65" s="1550" t="s">
        <v>958</v>
      </c>
      <c r="J65" s="1562" t="s">
        <v>4906</v>
      </c>
      <c r="K65" s="1572">
        <v>2.81</v>
      </c>
      <c r="L65" s="1561" t="s">
        <v>4914</v>
      </c>
      <c r="M65" s="1563">
        <v>44287</v>
      </c>
    </row>
    <row r="66" spans="1:13" s="1353" customFormat="1" ht="14.5">
      <c r="A66" s="1550">
        <v>59</v>
      </c>
      <c r="B66" s="1560" t="s">
        <v>1022</v>
      </c>
      <c r="C66" s="1561" t="s">
        <v>2235</v>
      </c>
      <c r="D66" s="1561" t="s">
        <v>4913</v>
      </c>
      <c r="E66" s="1561" t="s">
        <v>4903</v>
      </c>
      <c r="F66" s="1550" t="s">
        <v>4904</v>
      </c>
      <c r="G66" s="1550">
        <v>77</v>
      </c>
      <c r="H66" s="1550" t="s">
        <v>1859</v>
      </c>
      <c r="I66" s="1550" t="s">
        <v>970</v>
      </c>
      <c r="J66" s="1562" t="s">
        <v>4906</v>
      </c>
      <c r="K66" s="1572">
        <v>2.81</v>
      </c>
      <c r="L66" s="1561" t="s">
        <v>4914</v>
      </c>
      <c r="M66" s="1563">
        <v>44287</v>
      </c>
    </row>
    <row r="67" spans="1:13" s="1353" customFormat="1" ht="43.5">
      <c r="A67" s="1550">
        <v>60</v>
      </c>
      <c r="B67" s="1560" t="s">
        <v>1022</v>
      </c>
      <c r="C67" s="1561" t="s">
        <v>2293</v>
      </c>
      <c r="D67" s="1561" t="s">
        <v>629</v>
      </c>
      <c r="E67" s="1561" t="s">
        <v>4903</v>
      </c>
      <c r="F67" s="1550" t="s">
        <v>4904</v>
      </c>
      <c r="G67" s="1550">
        <v>97</v>
      </c>
      <c r="H67" s="1564" t="s">
        <v>1908</v>
      </c>
      <c r="I67" s="1550" t="s">
        <v>1037</v>
      </c>
      <c r="J67" s="1562">
        <v>-6.3549999999999995E-2</v>
      </c>
      <c r="K67" s="1562">
        <v>-0.26200000000000001</v>
      </c>
      <c r="L67" s="1561" t="s">
        <v>4922</v>
      </c>
      <c r="M67" s="1563">
        <v>44287</v>
      </c>
    </row>
    <row r="68" spans="1:13" s="1353" customFormat="1" ht="29">
      <c r="A68" s="1550">
        <v>61</v>
      </c>
      <c r="B68" s="1560" t="s">
        <v>1022</v>
      </c>
      <c r="C68" s="1561" t="s">
        <v>1162</v>
      </c>
      <c r="D68" s="1561" t="s">
        <v>1124</v>
      </c>
      <c r="E68" s="1561" t="s">
        <v>4903</v>
      </c>
      <c r="F68" s="1550" t="s">
        <v>4904</v>
      </c>
      <c r="G68" s="1550">
        <v>97</v>
      </c>
      <c r="H68" s="1564" t="s">
        <v>1907</v>
      </c>
      <c r="I68" s="1550" t="s">
        <v>1037</v>
      </c>
      <c r="J68" s="1562">
        <v>-6.6600000000000006E-2</v>
      </c>
      <c r="K68" s="1562">
        <v>-0.03</v>
      </c>
      <c r="L68" s="1561" t="s">
        <v>4923</v>
      </c>
      <c r="M68" s="1563">
        <v>44287</v>
      </c>
    </row>
    <row r="69" spans="1:13" s="1353" customFormat="1" ht="29">
      <c r="A69" s="1550">
        <v>62</v>
      </c>
      <c r="B69" s="1560" t="s">
        <v>1022</v>
      </c>
      <c r="C69" s="1561" t="s">
        <v>1162</v>
      </c>
      <c r="D69" s="1561" t="s">
        <v>1124</v>
      </c>
      <c r="E69" s="1561" t="s">
        <v>4903</v>
      </c>
      <c r="F69" s="1550" t="s">
        <v>4904</v>
      </c>
      <c r="G69" s="1550">
        <v>101</v>
      </c>
      <c r="H69" s="1564" t="s">
        <v>1911</v>
      </c>
      <c r="I69" s="1550" t="s">
        <v>1037</v>
      </c>
      <c r="J69" s="1562">
        <v>5.5500000000000001E-2</v>
      </c>
      <c r="K69" s="1562">
        <v>2.5000000000000001E-2</v>
      </c>
      <c r="L69" s="1561" t="s">
        <v>4923</v>
      </c>
      <c r="M69" s="1563">
        <v>44287</v>
      </c>
    </row>
    <row r="70" spans="1:13" s="1353" customFormat="1" ht="29">
      <c r="A70" s="1550">
        <v>63</v>
      </c>
      <c r="B70" s="1560" t="s">
        <v>1022</v>
      </c>
      <c r="C70" s="1561" t="s">
        <v>2301</v>
      </c>
      <c r="D70" s="1561" t="s">
        <v>4924</v>
      </c>
      <c r="E70" s="1561" t="s">
        <v>4903</v>
      </c>
      <c r="F70" s="1550" t="s">
        <v>4904</v>
      </c>
      <c r="G70" s="1550">
        <v>97</v>
      </c>
      <c r="H70" s="1564" t="s">
        <v>1907</v>
      </c>
      <c r="I70" s="1550" t="s">
        <v>1037</v>
      </c>
      <c r="J70" s="1562">
        <v>-0.40036899999999997</v>
      </c>
      <c r="K70" s="1562">
        <v>-0.45300000000000001</v>
      </c>
      <c r="L70" s="1561" t="s">
        <v>4925</v>
      </c>
      <c r="M70" s="1563">
        <v>44287</v>
      </c>
    </row>
    <row r="71" spans="1:13" s="1353" customFormat="1" ht="29">
      <c r="A71" s="1550">
        <v>64</v>
      </c>
      <c r="B71" s="1560" t="s">
        <v>1022</v>
      </c>
      <c r="C71" s="1561" t="s">
        <v>2301</v>
      </c>
      <c r="D71" s="1561" t="s">
        <v>4924</v>
      </c>
      <c r="E71" s="1561" t="s">
        <v>4903</v>
      </c>
      <c r="F71" s="1550" t="s">
        <v>4904</v>
      </c>
      <c r="G71" s="1550">
        <v>101</v>
      </c>
      <c r="H71" s="1564" t="s">
        <v>1911</v>
      </c>
      <c r="I71" s="1550" t="s">
        <v>1037</v>
      </c>
      <c r="J71" s="1562">
        <v>0.606595</v>
      </c>
      <c r="K71" s="1562">
        <v>0.55400000000000005</v>
      </c>
      <c r="L71" s="1561" t="s">
        <v>4925</v>
      </c>
      <c r="M71" s="1563">
        <v>44287</v>
      </c>
    </row>
    <row r="72" spans="1:13" s="1353" customFormat="1" ht="29">
      <c r="A72" s="1550">
        <v>65</v>
      </c>
      <c r="B72" s="1560" t="s">
        <v>1022</v>
      </c>
      <c r="C72" s="1561" t="s">
        <v>2323</v>
      </c>
      <c r="D72" s="1561" t="s">
        <v>4926</v>
      </c>
      <c r="E72" s="1561" t="s">
        <v>4903</v>
      </c>
      <c r="F72" s="1550" t="s">
        <v>4904</v>
      </c>
      <c r="G72" s="1550">
        <v>97</v>
      </c>
      <c r="H72" s="1564" t="s">
        <v>1907</v>
      </c>
      <c r="I72" s="1550" t="s">
        <v>1037</v>
      </c>
      <c r="J72" s="1574">
        <v>-2.3E-3</v>
      </c>
      <c r="K72" s="1574">
        <v>-2.3800000000000002E-3</v>
      </c>
      <c r="L72" s="1561" t="s">
        <v>4927</v>
      </c>
      <c r="M72" s="1563">
        <v>44287</v>
      </c>
    </row>
    <row r="73" spans="1:13" s="1353" customFormat="1" ht="29">
      <c r="A73" s="1550">
        <v>66</v>
      </c>
      <c r="B73" s="1560" t="s">
        <v>1022</v>
      </c>
      <c r="C73" s="1561" t="s">
        <v>2343</v>
      </c>
      <c r="D73" s="1561" t="s">
        <v>4928</v>
      </c>
      <c r="E73" s="1561" t="s">
        <v>4903</v>
      </c>
      <c r="F73" s="1550" t="s">
        <v>4904</v>
      </c>
      <c r="G73" s="1550">
        <v>97</v>
      </c>
      <c r="H73" s="1564" t="s">
        <v>1907</v>
      </c>
      <c r="I73" s="1550" t="s">
        <v>1037</v>
      </c>
      <c r="J73" s="1571">
        <v>-4.6899999999999997E-2</v>
      </c>
      <c r="K73" s="1571">
        <v>-5.3100000000000001E-2</v>
      </c>
      <c r="L73" s="1561" t="s">
        <v>4929</v>
      </c>
      <c r="M73" s="1563">
        <v>44287</v>
      </c>
    </row>
    <row r="74" spans="1:13" s="1353" customFormat="1" ht="14.5">
      <c r="A74" s="1550">
        <v>67</v>
      </c>
      <c r="B74" s="1560" t="s">
        <v>990</v>
      </c>
      <c r="C74" s="1561" t="s">
        <v>2511</v>
      </c>
      <c r="D74" s="1561" t="s">
        <v>4930</v>
      </c>
      <c r="E74" s="1561" t="s">
        <v>4903</v>
      </c>
      <c r="F74" s="1550" t="s">
        <v>4904</v>
      </c>
      <c r="G74" s="1550">
        <v>67</v>
      </c>
      <c r="H74" s="1550" t="s">
        <v>955</v>
      </c>
      <c r="I74" s="1550" t="s">
        <v>968</v>
      </c>
      <c r="J74" s="1562">
        <v>186.57761434904049</v>
      </c>
      <c r="K74" s="1562" t="s">
        <v>4906</v>
      </c>
      <c r="L74" s="1561" t="s">
        <v>4907</v>
      </c>
      <c r="M74" s="1563">
        <v>44287</v>
      </c>
    </row>
    <row r="75" spans="1:13" s="1353" customFormat="1" ht="14.5">
      <c r="A75" s="1550">
        <v>68</v>
      </c>
      <c r="B75" s="1560" t="s">
        <v>990</v>
      </c>
      <c r="C75" s="1561" t="s">
        <v>2511</v>
      </c>
      <c r="D75" s="1561" t="s">
        <v>4930</v>
      </c>
      <c r="E75" s="1561" t="s">
        <v>4903</v>
      </c>
      <c r="F75" s="1550" t="s">
        <v>4904</v>
      </c>
      <c r="G75" s="1550">
        <v>67</v>
      </c>
      <c r="H75" s="1550" t="s">
        <v>955</v>
      </c>
      <c r="I75" s="1550" t="s">
        <v>980</v>
      </c>
      <c r="J75" s="1562">
        <v>186.57761434904049</v>
      </c>
      <c r="K75" s="1562" t="s">
        <v>4906</v>
      </c>
      <c r="L75" s="1561" t="s">
        <v>4907</v>
      </c>
      <c r="M75" s="1563">
        <v>44287</v>
      </c>
    </row>
    <row r="76" spans="1:13" s="1353" customFormat="1" ht="14.5">
      <c r="A76" s="1550">
        <v>69</v>
      </c>
      <c r="B76" s="1560" t="s">
        <v>990</v>
      </c>
      <c r="C76" s="1561" t="s">
        <v>2511</v>
      </c>
      <c r="D76" s="1561" t="s">
        <v>4930</v>
      </c>
      <c r="E76" s="1561" t="s">
        <v>4903</v>
      </c>
      <c r="F76" s="1550" t="s">
        <v>4904</v>
      </c>
      <c r="G76" s="1550">
        <v>67</v>
      </c>
      <c r="H76" s="1550" t="s">
        <v>955</v>
      </c>
      <c r="I76" s="1550" t="s">
        <v>985</v>
      </c>
      <c r="J76" s="1562">
        <v>186.57761434904049</v>
      </c>
      <c r="K76" s="1562" t="s">
        <v>4906</v>
      </c>
      <c r="L76" s="1561" t="s">
        <v>4907</v>
      </c>
      <c r="M76" s="1563">
        <v>44287</v>
      </c>
    </row>
    <row r="77" spans="1:13" s="1353" customFormat="1" ht="14.5">
      <c r="A77" s="1550">
        <v>70</v>
      </c>
      <c r="B77" s="1560" t="s">
        <v>990</v>
      </c>
      <c r="C77" s="1561" t="s">
        <v>2511</v>
      </c>
      <c r="D77" s="1561" t="s">
        <v>4930</v>
      </c>
      <c r="E77" s="1561" t="s">
        <v>4903</v>
      </c>
      <c r="F77" s="1550" t="s">
        <v>4904</v>
      </c>
      <c r="G77" s="1550">
        <v>67</v>
      </c>
      <c r="H77" s="1550" t="s">
        <v>955</v>
      </c>
      <c r="I77" s="1550" t="s">
        <v>958</v>
      </c>
      <c r="J77" s="1562">
        <v>186.57761434904049</v>
      </c>
      <c r="K77" s="1562" t="s">
        <v>4906</v>
      </c>
      <c r="L77" s="1561" t="s">
        <v>4907</v>
      </c>
      <c r="M77" s="1563">
        <v>44287</v>
      </c>
    </row>
    <row r="78" spans="1:13" s="1353" customFormat="1" ht="14.5">
      <c r="A78" s="1550">
        <v>71</v>
      </c>
      <c r="B78" s="1560" t="s">
        <v>990</v>
      </c>
      <c r="C78" s="1561" t="s">
        <v>2511</v>
      </c>
      <c r="D78" s="1561" t="s">
        <v>4930</v>
      </c>
      <c r="E78" s="1561" t="s">
        <v>4903</v>
      </c>
      <c r="F78" s="1550" t="s">
        <v>4904</v>
      </c>
      <c r="G78" s="1550">
        <v>67</v>
      </c>
      <c r="H78" s="1550" t="s">
        <v>955</v>
      </c>
      <c r="I78" s="1550" t="s">
        <v>970</v>
      </c>
      <c r="J78" s="1562">
        <v>186.57761434904049</v>
      </c>
      <c r="K78" s="1562" t="s">
        <v>4906</v>
      </c>
      <c r="L78" s="1561" t="s">
        <v>4907</v>
      </c>
      <c r="M78" s="1563">
        <v>44287</v>
      </c>
    </row>
    <row r="79" spans="1:13" s="1353" customFormat="1" ht="14.5">
      <c r="A79" s="1550">
        <v>72</v>
      </c>
      <c r="B79" s="1560" t="s">
        <v>990</v>
      </c>
      <c r="C79" s="1561" t="s">
        <v>2516</v>
      </c>
      <c r="D79" s="1561" t="s">
        <v>4931</v>
      </c>
      <c r="E79" s="1561" t="s">
        <v>4903</v>
      </c>
      <c r="F79" s="1550" t="s">
        <v>4904</v>
      </c>
      <c r="G79" s="1550">
        <v>67</v>
      </c>
      <c r="H79" s="1550" t="s">
        <v>955</v>
      </c>
      <c r="I79" s="1550" t="s">
        <v>968</v>
      </c>
      <c r="J79" s="1562">
        <v>109.90615346050799</v>
      </c>
      <c r="K79" s="1562" t="s">
        <v>4906</v>
      </c>
      <c r="L79" s="1561" t="s">
        <v>4907</v>
      </c>
      <c r="M79" s="1563">
        <v>44287</v>
      </c>
    </row>
    <row r="80" spans="1:13" s="1353" customFormat="1" ht="14.5">
      <c r="A80" s="1550">
        <v>73</v>
      </c>
      <c r="B80" s="1560" t="s">
        <v>990</v>
      </c>
      <c r="C80" s="1561" t="s">
        <v>2516</v>
      </c>
      <c r="D80" s="1561" t="s">
        <v>4931</v>
      </c>
      <c r="E80" s="1561" t="s">
        <v>4903</v>
      </c>
      <c r="F80" s="1550" t="s">
        <v>4904</v>
      </c>
      <c r="G80" s="1550">
        <v>67</v>
      </c>
      <c r="H80" s="1550" t="s">
        <v>955</v>
      </c>
      <c r="I80" s="1550" t="s">
        <v>980</v>
      </c>
      <c r="J80" s="1562">
        <v>109.90615346050799</v>
      </c>
      <c r="K80" s="1562" t="s">
        <v>4906</v>
      </c>
      <c r="L80" s="1561" t="s">
        <v>4907</v>
      </c>
      <c r="M80" s="1563">
        <v>44287</v>
      </c>
    </row>
    <row r="81" spans="1:13" s="1353" customFormat="1" ht="14.5">
      <c r="A81" s="1550">
        <v>74</v>
      </c>
      <c r="B81" s="1560" t="s">
        <v>990</v>
      </c>
      <c r="C81" s="1561" t="s">
        <v>2516</v>
      </c>
      <c r="D81" s="1561" t="s">
        <v>4931</v>
      </c>
      <c r="E81" s="1561" t="s">
        <v>4903</v>
      </c>
      <c r="F81" s="1550" t="s">
        <v>4904</v>
      </c>
      <c r="G81" s="1550">
        <v>67</v>
      </c>
      <c r="H81" s="1550" t="s">
        <v>955</v>
      </c>
      <c r="I81" s="1550" t="s">
        <v>985</v>
      </c>
      <c r="J81" s="1562">
        <v>109.90615346050799</v>
      </c>
      <c r="K81" s="1562" t="s">
        <v>4906</v>
      </c>
      <c r="L81" s="1561" t="s">
        <v>4907</v>
      </c>
      <c r="M81" s="1563">
        <v>44287</v>
      </c>
    </row>
    <row r="82" spans="1:13" s="1353" customFormat="1" ht="14.5">
      <c r="A82" s="1550">
        <v>75</v>
      </c>
      <c r="B82" s="1560" t="s">
        <v>990</v>
      </c>
      <c r="C82" s="1561" t="s">
        <v>2516</v>
      </c>
      <c r="D82" s="1561" t="s">
        <v>4931</v>
      </c>
      <c r="E82" s="1561" t="s">
        <v>4903</v>
      </c>
      <c r="F82" s="1550" t="s">
        <v>4904</v>
      </c>
      <c r="G82" s="1550">
        <v>67</v>
      </c>
      <c r="H82" s="1550" t="s">
        <v>955</v>
      </c>
      <c r="I82" s="1550" t="s">
        <v>958</v>
      </c>
      <c r="J82" s="1562">
        <v>109.90615346050799</v>
      </c>
      <c r="K82" s="1562" t="s">
        <v>4906</v>
      </c>
      <c r="L82" s="1561" t="s">
        <v>4907</v>
      </c>
      <c r="M82" s="1563">
        <v>44287</v>
      </c>
    </row>
    <row r="83" spans="1:13" s="1353" customFormat="1" ht="14.5">
      <c r="A83" s="1550">
        <v>76</v>
      </c>
      <c r="B83" s="1560" t="s">
        <v>990</v>
      </c>
      <c r="C83" s="1561" t="s">
        <v>2516</v>
      </c>
      <c r="D83" s="1561" t="s">
        <v>4931</v>
      </c>
      <c r="E83" s="1561" t="s">
        <v>4903</v>
      </c>
      <c r="F83" s="1550" t="s">
        <v>4904</v>
      </c>
      <c r="G83" s="1550">
        <v>67</v>
      </c>
      <c r="H83" s="1550" t="s">
        <v>955</v>
      </c>
      <c r="I83" s="1550" t="s">
        <v>970</v>
      </c>
      <c r="J83" s="1562">
        <v>109.90615346050799</v>
      </c>
      <c r="K83" s="1562" t="s">
        <v>4906</v>
      </c>
      <c r="L83" s="1561" t="s">
        <v>4907</v>
      </c>
      <c r="M83" s="1563">
        <v>44287</v>
      </c>
    </row>
    <row r="84" spans="1:13" s="1353" customFormat="1" ht="14.5">
      <c r="A84" s="1550">
        <v>77</v>
      </c>
      <c r="B84" s="1560" t="s">
        <v>990</v>
      </c>
      <c r="C84" s="1561" t="s">
        <v>2502</v>
      </c>
      <c r="D84" s="1561" t="s">
        <v>4902</v>
      </c>
      <c r="E84" s="1561" t="s">
        <v>4903</v>
      </c>
      <c r="F84" s="1550" t="s">
        <v>4904</v>
      </c>
      <c r="G84" s="1550">
        <v>77</v>
      </c>
      <c r="H84" s="1550" t="s">
        <v>1859</v>
      </c>
      <c r="I84" s="1550" t="s">
        <v>985</v>
      </c>
      <c r="J84" s="1562">
        <v>2</v>
      </c>
      <c r="K84" s="1562">
        <v>1.5</v>
      </c>
      <c r="L84" s="1561" t="s">
        <v>4905</v>
      </c>
      <c r="M84" s="1563">
        <v>44287</v>
      </c>
    </row>
    <row r="85" spans="1:13" s="1353" customFormat="1" ht="14.5">
      <c r="A85" s="1550">
        <v>78</v>
      </c>
      <c r="B85" s="1560" t="s">
        <v>990</v>
      </c>
      <c r="C85" s="1561" t="s">
        <v>2502</v>
      </c>
      <c r="D85" s="1561" t="s">
        <v>4902</v>
      </c>
      <c r="E85" s="1561" t="s">
        <v>4903</v>
      </c>
      <c r="F85" s="1550" t="s">
        <v>4904</v>
      </c>
      <c r="G85" s="1550">
        <v>77</v>
      </c>
      <c r="H85" s="1550" t="s">
        <v>1859</v>
      </c>
      <c r="I85" s="1550" t="s">
        <v>958</v>
      </c>
      <c r="J85" s="1562">
        <v>2</v>
      </c>
      <c r="K85" s="1562">
        <v>1.5</v>
      </c>
      <c r="L85" s="1561" t="s">
        <v>4905</v>
      </c>
      <c r="M85" s="1563">
        <v>44287</v>
      </c>
    </row>
    <row r="86" spans="1:13" s="1353" customFormat="1" ht="14.5">
      <c r="A86" s="1550">
        <v>79</v>
      </c>
      <c r="B86" s="1560" t="s">
        <v>990</v>
      </c>
      <c r="C86" s="1561" t="s">
        <v>2502</v>
      </c>
      <c r="D86" s="1561" t="s">
        <v>4902</v>
      </c>
      <c r="E86" s="1561" t="s">
        <v>4903</v>
      </c>
      <c r="F86" s="1550" t="s">
        <v>4904</v>
      </c>
      <c r="G86" s="1550">
        <v>77</v>
      </c>
      <c r="H86" s="1550" t="s">
        <v>1859</v>
      </c>
      <c r="I86" s="1550" t="s">
        <v>970</v>
      </c>
      <c r="J86" s="1562">
        <v>2</v>
      </c>
      <c r="K86" s="1562">
        <v>1.5</v>
      </c>
      <c r="L86" s="1561" t="s">
        <v>4905</v>
      </c>
      <c r="M86" s="1563">
        <v>44287</v>
      </c>
    </row>
    <row r="87" spans="1:13" s="1353" customFormat="1" ht="14.5">
      <c r="A87" s="1550">
        <v>80</v>
      </c>
      <c r="B87" s="1575" t="s">
        <v>990</v>
      </c>
      <c r="C87" s="1561" t="s">
        <v>2542</v>
      </c>
      <c r="D87" s="1561" t="s">
        <v>4911</v>
      </c>
      <c r="E87" s="1561" t="s">
        <v>4903</v>
      </c>
      <c r="F87" s="1550" t="s">
        <v>4904</v>
      </c>
      <c r="G87" s="1550">
        <v>77</v>
      </c>
      <c r="H87" s="1550" t="s">
        <v>1859</v>
      </c>
      <c r="I87" s="1550" t="s">
        <v>968</v>
      </c>
      <c r="J87" s="1562" t="s">
        <v>4906</v>
      </c>
      <c r="K87" s="1573">
        <v>151.9</v>
      </c>
      <c r="L87" s="1561" t="s">
        <v>4912</v>
      </c>
      <c r="M87" s="1563">
        <v>44287</v>
      </c>
    </row>
    <row r="88" spans="1:13" s="1353" customFormat="1" ht="14.5">
      <c r="A88" s="1550">
        <v>81</v>
      </c>
      <c r="B88" s="1575" t="s">
        <v>990</v>
      </c>
      <c r="C88" s="1561" t="s">
        <v>2542</v>
      </c>
      <c r="D88" s="1561" t="s">
        <v>4911</v>
      </c>
      <c r="E88" s="1561" t="s">
        <v>4903</v>
      </c>
      <c r="F88" s="1550" t="s">
        <v>4904</v>
      </c>
      <c r="G88" s="1550">
        <v>77</v>
      </c>
      <c r="H88" s="1550" t="s">
        <v>1859</v>
      </c>
      <c r="I88" s="1550" t="s">
        <v>980</v>
      </c>
      <c r="J88" s="1562" t="s">
        <v>4906</v>
      </c>
      <c r="K88" s="1573">
        <v>147.1</v>
      </c>
      <c r="L88" s="1561" t="s">
        <v>4912</v>
      </c>
      <c r="M88" s="1563">
        <v>44287</v>
      </c>
    </row>
    <row r="89" spans="1:13" s="1353" customFormat="1" ht="14.5">
      <c r="A89" s="1550">
        <v>82</v>
      </c>
      <c r="B89" s="1575" t="s">
        <v>990</v>
      </c>
      <c r="C89" s="1561" t="s">
        <v>2542</v>
      </c>
      <c r="D89" s="1561" t="s">
        <v>4911</v>
      </c>
      <c r="E89" s="1561" t="s">
        <v>4903</v>
      </c>
      <c r="F89" s="1550" t="s">
        <v>4904</v>
      </c>
      <c r="G89" s="1550">
        <v>77</v>
      </c>
      <c r="H89" s="1550" t="s">
        <v>1859</v>
      </c>
      <c r="I89" s="1550" t="s">
        <v>985</v>
      </c>
      <c r="J89" s="1562" t="s">
        <v>4906</v>
      </c>
      <c r="K89" s="1573">
        <v>142.4</v>
      </c>
      <c r="L89" s="1561" t="s">
        <v>4912</v>
      </c>
      <c r="M89" s="1563">
        <v>44287</v>
      </c>
    </row>
    <row r="90" spans="1:13" s="1353" customFormat="1" ht="14.5">
      <c r="A90" s="1550">
        <v>83</v>
      </c>
      <c r="B90" s="1575" t="s">
        <v>990</v>
      </c>
      <c r="C90" s="1561" t="s">
        <v>2542</v>
      </c>
      <c r="D90" s="1561" t="s">
        <v>4911</v>
      </c>
      <c r="E90" s="1561" t="s">
        <v>4903</v>
      </c>
      <c r="F90" s="1550" t="s">
        <v>4904</v>
      </c>
      <c r="G90" s="1550">
        <v>77</v>
      </c>
      <c r="H90" s="1550" t="s">
        <v>1859</v>
      </c>
      <c r="I90" s="1550" t="s">
        <v>958</v>
      </c>
      <c r="J90" s="1562" t="s">
        <v>4906</v>
      </c>
      <c r="K90" s="1573">
        <v>137.9</v>
      </c>
      <c r="L90" s="1561" t="s">
        <v>4912</v>
      </c>
      <c r="M90" s="1563">
        <v>44287</v>
      </c>
    </row>
    <row r="91" spans="1:13" s="1353" customFormat="1" ht="14.5">
      <c r="A91" s="1550">
        <v>84</v>
      </c>
      <c r="B91" s="1575" t="s">
        <v>990</v>
      </c>
      <c r="C91" s="1561" t="s">
        <v>2542</v>
      </c>
      <c r="D91" s="1561" t="s">
        <v>4911</v>
      </c>
      <c r="E91" s="1561" t="s">
        <v>4903</v>
      </c>
      <c r="F91" s="1550" t="s">
        <v>4904</v>
      </c>
      <c r="G91" s="1550">
        <v>77</v>
      </c>
      <c r="H91" s="1550" t="s">
        <v>1859</v>
      </c>
      <c r="I91" s="1550" t="s">
        <v>970</v>
      </c>
      <c r="J91" s="1562" t="s">
        <v>4906</v>
      </c>
      <c r="K91" s="1573">
        <v>133.4</v>
      </c>
      <c r="L91" s="1561" t="s">
        <v>4912</v>
      </c>
      <c r="M91" s="1563">
        <v>44287</v>
      </c>
    </row>
    <row r="92" spans="1:13" s="1353" customFormat="1" ht="14.5">
      <c r="A92" s="1550">
        <v>85</v>
      </c>
      <c r="B92" s="1575" t="s">
        <v>990</v>
      </c>
      <c r="C92" s="1561" t="s">
        <v>2546</v>
      </c>
      <c r="D92" s="1561" t="s">
        <v>4913</v>
      </c>
      <c r="E92" s="1561" t="s">
        <v>4903</v>
      </c>
      <c r="F92" s="1550" t="s">
        <v>4904</v>
      </c>
      <c r="G92" s="1550">
        <v>77</v>
      </c>
      <c r="H92" s="1550" t="s">
        <v>1859</v>
      </c>
      <c r="I92" s="1550" t="s">
        <v>968</v>
      </c>
      <c r="J92" s="1562" t="s">
        <v>4906</v>
      </c>
      <c r="K92" s="1572">
        <v>7.64</v>
      </c>
      <c r="L92" s="1561" t="s">
        <v>4932</v>
      </c>
      <c r="M92" s="1563">
        <v>44287</v>
      </c>
    </row>
    <row r="93" spans="1:13" s="1353" customFormat="1" ht="14.5">
      <c r="A93" s="1550">
        <v>86</v>
      </c>
      <c r="B93" s="1575" t="s">
        <v>990</v>
      </c>
      <c r="C93" s="1561" t="s">
        <v>2546</v>
      </c>
      <c r="D93" s="1561" t="s">
        <v>4913</v>
      </c>
      <c r="E93" s="1561" t="s">
        <v>4903</v>
      </c>
      <c r="F93" s="1550" t="s">
        <v>4904</v>
      </c>
      <c r="G93" s="1550">
        <v>77</v>
      </c>
      <c r="H93" s="1550" t="s">
        <v>1859</v>
      </c>
      <c r="I93" s="1550" t="s">
        <v>980</v>
      </c>
      <c r="J93" s="1562" t="s">
        <v>4906</v>
      </c>
      <c r="K93" s="1572">
        <v>6.43</v>
      </c>
      <c r="L93" s="1561" t="s">
        <v>4932</v>
      </c>
      <c r="M93" s="1563">
        <v>44287</v>
      </c>
    </row>
    <row r="94" spans="1:13" s="1353" customFormat="1" ht="14.5">
      <c r="A94" s="1550">
        <v>87</v>
      </c>
      <c r="B94" s="1575" t="s">
        <v>990</v>
      </c>
      <c r="C94" s="1561" t="s">
        <v>2546</v>
      </c>
      <c r="D94" s="1561" t="s">
        <v>4913</v>
      </c>
      <c r="E94" s="1561" t="s">
        <v>4903</v>
      </c>
      <c r="F94" s="1550" t="s">
        <v>4904</v>
      </c>
      <c r="G94" s="1550">
        <v>77</v>
      </c>
      <c r="H94" s="1550" t="s">
        <v>1859</v>
      </c>
      <c r="I94" s="1550" t="s">
        <v>985</v>
      </c>
      <c r="J94" s="1562" t="s">
        <v>4906</v>
      </c>
      <c r="K94" s="1572">
        <v>5.23</v>
      </c>
      <c r="L94" s="1561" t="s">
        <v>4932</v>
      </c>
      <c r="M94" s="1563">
        <v>44287</v>
      </c>
    </row>
    <row r="95" spans="1:13" s="1353" customFormat="1" ht="14.5">
      <c r="A95" s="1550">
        <v>88</v>
      </c>
      <c r="B95" s="1575" t="s">
        <v>990</v>
      </c>
      <c r="C95" s="1561" t="s">
        <v>2546</v>
      </c>
      <c r="D95" s="1561" t="s">
        <v>4913</v>
      </c>
      <c r="E95" s="1561" t="s">
        <v>4903</v>
      </c>
      <c r="F95" s="1550" t="s">
        <v>4904</v>
      </c>
      <c r="G95" s="1550">
        <v>77</v>
      </c>
      <c r="H95" s="1550" t="s">
        <v>1859</v>
      </c>
      <c r="I95" s="1550" t="s">
        <v>958</v>
      </c>
      <c r="J95" s="1562" t="s">
        <v>4906</v>
      </c>
      <c r="K95" s="1572">
        <v>4.0199999999999996</v>
      </c>
      <c r="L95" s="1561" t="s">
        <v>4932</v>
      </c>
      <c r="M95" s="1563">
        <v>44287</v>
      </c>
    </row>
    <row r="96" spans="1:13" s="1353" customFormat="1" ht="14.5">
      <c r="A96" s="1550">
        <v>89</v>
      </c>
      <c r="B96" s="1575" t="s">
        <v>990</v>
      </c>
      <c r="C96" s="1561" t="s">
        <v>2546</v>
      </c>
      <c r="D96" s="1561" t="s">
        <v>4913</v>
      </c>
      <c r="E96" s="1561" t="s">
        <v>4903</v>
      </c>
      <c r="F96" s="1550" t="s">
        <v>4904</v>
      </c>
      <c r="G96" s="1550">
        <v>77</v>
      </c>
      <c r="H96" s="1550" t="s">
        <v>1859</v>
      </c>
      <c r="I96" s="1550" t="s">
        <v>970</v>
      </c>
      <c r="J96" s="1562" t="s">
        <v>4906</v>
      </c>
      <c r="K96" s="1572">
        <v>2.81</v>
      </c>
      <c r="L96" s="1561" t="s">
        <v>4932</v>
      </c>
      <c r="M96" s="1563">
        <v>44287</v>
      </c>
    </row>
    <row r="97" spans="1:13" s="1353" customFormat="1" ht="14.5">
      <c r="A97" s="1550">
        <v>90</v>
      </c>
      <c r="B97" s="1560" t="s">
        <v>990</v>
      </c>
      <c r="C97" s="1561" t="s">
        <v>2511</v>
      </c>
      <c r="D97" s="1561" t="s">
        <v>4930</v>
      </c>
      <c r="E97" s="1561" t="s">
        <v>4903</v>
      </c>
      <c r="F97" s="1550" t="s">
        <v>4904</v>
      </c>
      <c r="G97" s="1550">
        <v>92</v>
      </c>
      <c r="H97" s="1550" t="s">
        <v>1862</v>
      </c>
      <c r="I97" s="1550" t="s">
        <v>968</v>
      </c>
      <c r="J97" s="1562" t="s">
        <v>4797</v>
      </c>
      <c r="K97" s="1562" t="s">
        <v>4906</v>
      </c>
      <c r="L97" s="1561" t="s">
        <v>4907</v>
      </c>
      <c r="M97" s="1563">
        <v>44287</v>
      </c>
    </row>
    <row r="98" spans="1:13" s="1353" customFormat="1" ht="14.5">
      <c r="A98" s="1550">
        <v>91</v>
      </c>
      <c r="B98" s="1560" t="s">
        <v>990</v>
      </c>
      <c r="C98" s="1561" t="s">
        <v>2511</v>
      </c>
      <c r="D98" s="1561" t="s">
        <v>4930</v>
      </c>
      <c r="E98" s="1561" t="s">
        <v>4903</v>
      </c>
      <c r="F98" s="1550" t="s">
        <v>4904</v>
      </c>
      <c r="G98" s="1550">
        <v>92</v>
      </c>
      <c r="H98" s="1550" t="s">
        <v>1862</v>
      </c>
      <c r="I98" s="1550" t="s">
        <v>980</v>
      </c>
      <c r="J98" s="1562" t="s">
        <v>4797</v>
      </c>
      <c r="K98" s="1562" t="s">
        <v>4906</v>
      </c>
      <c r="L98" s="1561" t="s">
        <v>4907</v>
      </c>
      <c r="M98" s="1563">
        <v>44287</v>
      </c>
    </row>
    <row r="99" spans="1:13" s="1353" customFormat="1" ht="14.5">
      <c r="A99" s="1550">
        <v>92</v>
      </c>
      <c r="B99" s="1560" t="s">
        <v>990</v>
      </c>
      <c r="C99" s="1561" t="s">
        <v>2511</v>
      </c>
      <c r="D99" s="1561" t="s">
        <v>4930</v>
      </c>
      <c r="E99" s="1561" t="s">
        <v>4903</v>
      </c>
      <c r="F99" s="1550" t="s">
        <v>4904</v>
      </c>
      <c r="G99" s="1550">
        <v>92</v>
      </c>
      <c r="H99" s="1550" t="s">
        <v>1862</v>
      </c>
      <c r="I99" s="1550" t="s">
        <v>985</v>
      </c>
      <c r="J99" s="1562" t="s">
        <v>4797</v>
      </c>
      <c r="K99" s="1562" t="s">
        <v>4906</v>
      </c>
      <c r="L99" s="1561" t="s">
        <v>4907</v>
      </c>
      <c r="M99" s="1563">
        <v>44287</v>
      </c>
    </row>
    <row r="100" spans="1:13" s="1353" customFormat="1" ht="14.5">
      <c r="A100" s="1550">
        <v>93</v>
      </c>
      <c r="B100" s="1560" t="s">
        <v>990</v>
      </c>
      <c r="C100" s="1561" t="s">
        <v>2511</v>
      </c>
      <c r="D100" s="1561" t="s">
        <v>4930</v>
      </c>
      <c r="E100" s="1561" t="s">
        <v>4903</v>
      </c>
      <c r="F100" s="1550" t="s">
        <v>4904</v>
      </c>
      <c r="G100" s="1550">
        <v>92</v>
      </c>
      <c r="H100" s="1550" t="s">
        <v>1862</v>
      </c>
      <c r="I100" s="1550" t="s">
        <v>958</v>
      </c>
      <c r="J100" s="1562" t="s">
        <v>4797</v>
      </c>
      <c r="K100" s="1562" t="s">
        <v>4906</v>
      </c>
      <c r="L100" s="1561" t="s">
        <v>4907</v>
      </c>
      <c r="M100" s="1563">
        <v>44287</v>
      </c>
    </row>
    <row r="101" spans="1:13" s="1353" customFormat="1" ht="14.5">
      <c r="A101" s="1550">
        <v>94</v>
      </c>
      <c r="B101" s="1560" t="s">
        <v>990</v>
      </c>
      <c r="C101" s="1561" t="s">
        <v>2511</v>
      </c>
      <c r="D101" s="1561" t="s">
        <v>4930</v>
      </c>
      <c r="E101" s="1561" t="s">
        <v>4903</v>
      </c>
      <c r="F101" s="1550" t="s">
        <v>4904</v>
      </c>
      <c r="G101" s="1550">
        <v>92</v>
      </c>
      <c r="H101" s="1550" t="s">
        <v>1862</v>
      </c>
      <c r="I101" s="1550" t="s">
        <v>970</v>
      </c>
      <c r="J101" s="1562" t="s">
        <v>4797</v>
      </c>
      <c r="K101" s="1562" t="s">
        <v>4906</v>
      </c>
      <c r="L101" s="1561" t="s">
        <v>4907</v>
      </c>
      <c r="M101" s="1563">
        <v>44287</v>
      </c>
    </row>
    <row r="102" spans="1:13" s="1353" customFormat="1" ht="14.5">
      <c r="A102" s="1550">
        <v>95</v>
      </c>
      <c r="B102" s="1560" t="s">
        <v>990</v>
      </c>
      <c r="C102" s="1561" t="s">
        <v>2516</v>
      </c>
      <c r="D102" s="1561" t="s">
        <v>4931</v>
      </c>
      <c r="E102" s="1561" t="s">
        <v>4903</v>
      </c>
      <c r="F102" s="1550" t="s">
        <v>4904</v>
      </c>
      <c r="G102" s="1550">
        <v>92</v>
      </c>
      <c r="H102" s="1550" t="s">
        <v>1862</v>
      </c>
      <c r="I102" s="1550" t="s">
        <v>968</v>
      </c>
      <c r="J102" s="1562" t="s">
        <v>4797</v>
      </c>
      <c r="K102" s="1562" t="s">
        <v>4906</v>
      </c>
      <c r="L102" s="1561" t="s">
        <v>4907</v>
      </c>
      <c r="M102" s="1563">
        <v>44287</v>
      </c>
    </row>
    <row r="103" spans="1:13" s="1353" customFormat="1" ht="14.5">
      <c r="A103" s="1550">
        <v>96</v>
      </c>
      <c r="B103" s="1560" t="s">
        <v>990</v>
      </c>
      <c r="C103" s="1561" t="s">
        <v>2516</v>
      </c>
      <c r="D103" s="1561" t="s">
        <v>4931</v>
      </c>
      <c r="E103" s="1561" t="s">
        <v>4903</v>
      </c>
      <c r="F103" s="1550" t="s">
        <v>4904</v>
      </c>
      <c r="G103" s="1550">
        <v>92</v>
      </c>
      <c r="H103" s="1550" t="s">
        <v>1862</v>
      </c>
      <c r="I103" s="1550" t="s">
        <v>980</v>
      </c>
      <c r="J103" s="1562" t="s">
        <v>4797</v>
      </c>
      <c r="K103" s="1562" t="s">
        <v>4906</v>
      </c>
      <c r="L103" s="1561" t="s">
        <v>4907</v>
      </c>
      <c r="M103" s="1563">
        <v>44287</v>
      </c>
    </row>
    <row r="104" spans="1:13" s="1353" customFormat="1" ht="14.5">
      <c r="A104" s="1550">
        <v>97</v>
      </c>
      <c r="B104" s="1560" t="s">
        <v>990</v>
      </c>
      <c r="C104" s="1561" t="s">
        <v>2516</v>
      </c>
      <c r="D104" s="1561" t="s">
        <v>4931</v>
      </c>
      <c r="E104" s="1561" t="s">
        <v>4903</v>
      </c>
      <c r="F104" s="1550" t="s">
        <v>4904</v>
      </c>
      <c r="G104" s="1550">
        <v>92</v>
      </c>
      <c r="H104" s="1550" t="s">
        <v>1862</v>
      </c>
      <c r="I104" s="1550" t="s">
        <v>985</v>
      </c>
      <c r="J104" s="1562" t="s">
        <v>4797</v>
      </c>
      <c r="K104" s="1562" t="s">
        <v>4906</v>
      </c>
      <c r="L104" s="1561" t="s">
        <v>4907</v>
      </c>
      <c r="M104" s="1563">
        <v>44287</v>
      </c>
    </row>
    <row r="105" spans="1:13" s="1353" customFormat="1" ht="14.5">
      <c r="A105" s="1550">
        <v>98</v>
      </c>
      <c r="B105" s="1560" t="s">
        <v>990</v>
      </c>
      <c r="C105" s="1561" t="s">
        <v>2516</v>
      </c>
      <c r="D105" s="1561" t="s">
        <v>4931</v>
      </c>
      <c r="E105" s="1561" t="s">
        <v>4903</v>
      </c>
      <c r="F105" s="1550" t="s">
        <v>4904</v>
      </c>
      <c r="G105" s="1550">
        <v>92</v>
      </c>
      <c r="H105" s="1550" t="s">
        <v>1862</v>
      </c>
      <c r="I105" s="1550" t="s">
        <v>958</v>
      </c>
      <c r="J105" s="1562" t="s">
        <v>4797</v>
      </c>
      <c r="K105" s="1562" t="s">
        <v>4906</v>
      </c>
      <c r="L105" s="1561" t="s">
        <v>4907</v>
      </c>
      <c r="M105" s="1563">
        <v>44287</v>
      </c>
    </row>
    <row r="106" spans="1:13" s="1353" customFormat="1" ht="14.5">
      <c r="A106" s="1550">
        <v>99</v>
      </c>
      <c r="B106" s="1560" t="s">
        <v>990</v>
      </c>
      <c r="C106" s="1561" t="s">
        <v>2516</v>
      </c>
      <c r="D106" s="1561" t="s">
        <v>4931</v>
      </c>
      <c r="E106" s="1561" t="s">
        <v>4903</v>
      </c>
      <c r="F106" s="1550" t="s">
        <v>4904</v>
      </c>
      <c r="G106" s="1550">
        <v>92</v>
      </c>
      <c r="H106" s="1550" t="s">
        <v>1862</v>
      </c>
      <c r="I106" s="1550" t="s">
        <v>970</v>
      </c>
      <c r="J106" s="1562" t="s">
        <v>4797</v>
      </c>
      <c r="K106" s="1562" t="s">
        <v>4906</v>
      </c>
      <c r="L106" s="1561" t="s">
        <v>4907</v>
      </c>
      <c r="M106" s="1563">
        <v>44287</v>
      </c>
    </row>
    <row r="107" spans="1:13" s="1353" customFormat="1" ht="43.5">
      <c r="A107" s="1550">
        <v>100</v>
      </c>
      <c r="B107" s="1560" t="s">
        <v>990</v>
      </c>
      <c r="C107" s="1561" t="s">
        <v>2511</v>
      </c>
      <c r="D107" s="1561" t="s">
        <v>4930</v>
      </c>
      <c r="E107" s="1561" t="s">
        <v>4903</v>
      </c>
      <c r="F107" s="1550" t="s">
        <v>4904</v>
      </c>
      <c r="G107" s="1550">
        <v>97</v>
      </c>
      <c r="H107" s="1576" t="s">
        <v>1908</v>
      </c>
      <c r="I107" s="1550" t="s">
        <v>1037</v>
      </c>
      <c r="J107" s="1562" t="s">
        <v>4906</v>
      </c>
      <c r="K107" s="1562">
        <v>-0.17499999999999999</v>
      </c>
      <c r="L107" s="1561" t="s">
        <v>4933</v>
      </c>
      <c r="M107" s="1563">
        <v>44287</v>
      </c>
    </row>
    <row r="108" spans="1:13" s="1353" customFormat="1" ht="43.5">
      <c r="A108" s="1550">
        <v>101</v>
      </c>
      <c r="B108" s="1560" t="s">
        <v>990</v>
      </c>
      <c r="C108" s="1561" t="s">
        <v>2516</v>
      </c>
      <c r="D108" s="1561" t="s">
        <v>4931</v>
      </c>
      <c r="E108" s="1561" t="s">
        <v>4903</v>
      </c>
      <c r="F108" s="1550" t="s">
        <v>4904</v>
      </c>
      <c r="G108" s="1550">
        <v>97</v>
      </c>
      <c r="H108" s="1576" t="s">
        <v>1908</v>
      </c>
      <c r="I108" s="1550" t="s">
        <v>1037</v>
      </c>
      <c r="J108" s="1562" t="s">
        <v>4906</v>
      </c>
      <c r="K108" s="1562">
        <v>-0.18</v>
      </c>
      <c r="L108" s="1561" t="s">
        <v>4934</v>
      </c>
      <c r="M108" s="1563">
        <v>44287</v>
      </c>
    </row>
    <row r="109" spans="1:13" s="1353" customFormat="1" ht="43.5">
      <c r="A109" s="1550">
        <v>102</v>
      </c>
      <c r="B109" s="1575" t="s">
        <v>990</v>
      </c>
      <c r="C109" s="1576" t="s">
        <v>2685</v>
      </c>
      <c r="D109" s="1576" t="s">
        <v>2687</v>
      </c>
      <c r="E109" s="1561" t="s">
        <v>4903</v>
      </c>
      <c r="F109" s="1550" t="s">
        <v>4904</v>
      </c>
      <c r="G109" s="1550">
        <v>97</v>
      </c>
      <c r="H109" s="1576" t="s">
        <v>1907</v>
      </c>
      <c r="I109" s="1550" t="s">
        <v>1037</v>
      </c>
      <c r="J109" s="1562">
        <v>-0.29430000000000001</v>
      </c>
      <c r="K109" s="1562">
        <v>-0.36899999999999999</v>
      </c>
      <c r="L109" s="1561" t="s">
        <v>4935</v>
      </c>
      <c r="M109" s="1563">
        <v>44287</v>
      </c>
    </row>
    <row r="110" spans="1:13" s="1353" customFormat="1" ht="29">
      <c r="A110" s="1550">
        <v>103</v>
      </c>
      <c r="B110" s="1575" t="s">
        <v>990</v>
      </c>
      <c r="C110" s="1576" t="s">
        <v>2690</v>
      </c>
      <c r="D110" s="1576" t="s">
        <v>2692</v>
      </c>
      <c r="E110" s="1561" t="s">
        <v>4903</v>
      </c>
      <c r="F110" s="1550" t="s">
        <v>4904</v>
      </c>
      <c r="G110" s="1550">
        <v>97</v>
      </c>
      <c r="H110" s="1576" t="s">
        <v>1907</v>
      </c>
      <c r="I110" s="1550" t="s">
        <v>1037</v>
      </c>
      <c r="J110" s="1571">
        <v>-4.7399999999999998E-2</v>
      </c>
      <c r="K110" s="1571">
        <v>-4.6199999999999998E-2</v>
      </c>
      <c r="L110" s="1561" t="s">
        <v>4936</v>
      </c>
      <c r="M110" s="1563">
        <v>44287</v>
      </c>
    </row>
    <row r="111" spans="1:13" s="1353" customFormat="1" ht="29">
      <c r="A111" s="1550">
        <v>104</v>
      </c>
      <c r="B111" s="1575" t="s">
        <v>990</v>
      </c>
      <c r="C111" s="1576" t="s">
        <v>2694</v>
      </c>
      <c r="D111" s="1576" t="s">
        <v>2696</v>
      </c>
      <c r="E111" s="1561" t="s">
        <v>4903</v>
      </c>
      <c r="F111" s="1550" t="s">
        <v>4904</v>
      </c>
      <c r="G111" s="1550">
        <v>97</v>
      </c>
      <c r="H111" s="1576" t="s">
        <v>1907</v>
      </c>
      <c r="I111" s="1550" t="s">
        <v>1037</v>
      </c>
      <c r="J111" s="1562">
        <v>-0.19900000000000001</v>
      </c>
      <c r="K111" s="1562">
        <v>-0.19400000000000001</v>
      </c>
      <c r="L111" s="1561" t="s">
        <v>4937</v>
      </c>
      <c r="M111" s="1563">
        <v>44287</v>
      </c>
    </row>
    <row r="112" spans="1:13" s="1353" customFormat="1" ht="29">
      <c r="A112" s="1550">
        <v>105</v>
      </c>
      <c r="B112" s="1575" t="s">
        <v>990</v>
      </c>
      <c r="C112" s="1576" t="s">
        <v>1136</v>
      </c>
      <c r="D112" s="1576" t="s">
        <v>4938</v>
      </c>
      <c r="E112" s="1561" t="s">
        <v>4903</v>
      </c>
      <c r="F112" s="1550" t="s">
        <v>4904</v>
      </c>
      <c r="G112" s="1550">
        <v>97</v>
      </c>
      <c r="H112" s="1576" t="s">
        <v>1907</v>
      </c>
      <c r="I112" s="1550" t="s">
        <v>1037</v>
      </c>
      <c r="J112" s="1571">
        <v>-9.74E-2</v>
      </c>
      <c r="K112" s="1562">
        <v>-0.127</v>
      </c>
      <c r="L112" s="1561" t="s">
        <v>4939</v>
      </c>
      <c r="M112" s="1563">
        <v>44287</v>
      </c>
    </row>
    <row r="113" spans="1:13" s="1353" customFormat="1" ht="43.5">
      <c r="A113" s="1550">
        <v>106</v>
      </c>
      <c r="B113" s="1575" t="s">
        <v>990</v>
      </c>
      <c r="C113" s="1576" t="s">
        <v>2702</v>
      </c>
      <c r="D113" s="1576" t="s">
        <v>2704</v>
      </c>
      <c r="E113" s="1561" t="s">
        <v>4903</v>
      </c>
      <c r="F113" s="1550" t="s">
        <v>4904</v>
      </c>
      <c r="G113" s="1550">
        <v>97</v>
      </c>
      <c r="H113" s="1576" t="s">
        <v>1907</v>
      </c>
      <c r="I113" s="1550" t="s">
        <v>1037</v>
      </c>
      <c r="J113" s="1571">
        <v>-7.1000000000000004E-3</v>
      </c>
      <c r="K113" s="1571">
        <v>-7.3000000000000001E-3</v>
      </c>
      <c r="L113" s="1561" t="s">
        <v>4940</v>
      </c>
      <c r="M113" s="1563">
        <v>44287</v>
      </c>
    </row>
    <row r="114" spans="1:13" s="1353" customFormat="1" ht="29">
      <c r="A114" s="1550">
        <v>107</v>
      </c>
      <c r="B114" s="1575" t="s">
        <v>990</v>
      </c>
      <c r="C114" s="1576" t="s">
        <v>2718</v>
      </c>
      <c r="D114" s="1576" t="s">
        <v>2720</v>
      </c>
      <c r="E114" s="1561" t="s">
        <v>4903</v>
      </c>
      <c r="F114" s="1550" t="s">
        <v>4904</v>
      </c>
      <c r="G114" s="1550">
        <v>97</v>
      </c>
      <c r="H114" s="1576" t="s">
        <v>1907</v>
      </c>
      <c r="I114" s="1550" t="s">
        <v>1037</v>
      </c>
      <c r="J114" s="1571">
        <v>-2.0899999999999998E-2</v>
      </c>
      <c r="K114" s="1571">
        <v>-2.7400000000000001E-2</v>
      </c>
      <c r="L114" s="1561" t="s">
        <v>4941</v>
      </c>
      <c r="M114" s="1563">
        <v>44287</v>
      </c>
    </row>
    <row r="115" spans="1:13" s="1353" customFormat="1" ht="29">
      <c r="A115" s="1550">
        <v>108</v>
      </c>
      <c r="B115" s="1575" t="s">
        <v>990</v>
      </c>
      <c r="C115" s="1576" t="s">
        <v>2711</v>
      </c>
      <c r="D115" s="1576" t="s">
        <v>2172</v>
      </c>
      <c r="E115" s="1561" t="s">
        <v>4903</v>
      </c>
      <c r="F115" s="1550" t="s">
        <v>4904</v>
      </c>
      <c r="G115" s="1550">
        <v>97</v>
      </c>
      <c r="H115" s="1576" t="s">
        <v>1907</v>
      </c>
      <c r="I115" s="1550" t="s">
        <v>1037</v>
      </c>
      <c r="J115" s="1571">
        <v>-1.78E-2</v>
      </c>
      <c r="K115" s="1571">
        <v>-1.83E-2</v>
      </c>
      <c r="L115" s="1561" t="s">
        <v>4942</v>
      </c>
      <c r="M115" s="1563">
        <v>44287</v>
      </c>
    </row>
    <row r="116" spans="1:13" s="1353" customFormat="1" ht="14.5">
      <c r="A116" s="1550">
        <v>109</v>
      </c>
      <c r="B116" s="1560" t="s">
        <v>990</v>
      </c>
      <c r="C116" s="1561" t="s">
        <v>2511</v>
      </c>
      <c r="D116" s="1561" t="s">
        <v>4930</v>
      </c>
      <c r="E116" s="1561" t="s">
        <v>4903</v>
      </c>
      <c r="F116" s="1550" t="s">
        <v>4904</v>
      </c>
      <c r="G116" s="1550">
        <v>100</v>
      </c>
      <c r="H116" s="1550" t="s">
        <v>1910</v>
      </c>
      <c r="I116" s="1550" t="s">
        <v>1037</v>
      </c>
      <c r="J116" s="1562">
        <v>-0.26645000000000002</v>
      </c>
      <c r="K116" s="1562" t="s">
        <v>4906</v>
      </c>
      <c r="L116" s="1561" t="s">
        <v>4907</v>
      </c>
      <c r="M116" s="1563">
        <v>44287</v>
      </c>
    </row>
    <row r="117" spans="1:13" s="1353" customFormat="1" ht="14.5">
      <c r="A117" s="1550">
        <v>110</v>
      </c>
      <c r="B117" s="1560" t="s">
        <v>990</v>
      </c>
      <c r="C117" s="1561" t="s">
        <v>2516</v>
      </c>
      <c r="D117" s="1561" t="s">
        <v>4931</v>
      </c>
      <c r="E117" s="1561" t="s">
        <v>4903</v>
      </c>
      <c r="F117" s="1550" t="s">
        <v>4904</v>
      </c>
      <c r="G117" s="1550">
        <v>100</v>
      </c>
      <c r="H117" s="1550" t="s">
        <v>1910</v>
      </c>
      <c r="I117" s="1550" t="s">
        <v>1037</v>
      </c>
      <c r="J117" s="1562">
        <v>-0.48801299999999997</v>
      </c>
      <c r="K117" s="1562" t="s">
        <v>4906</v>
      </c>
      <c r="L117" s="1561" t="s">
        <v>4907</v>
      </c>
      <c r="M117" s="1563">
        <v>44287</v>
      </c>
    </row>
    <row r="118" spans="1:13" s="1353" customFormat="1" ht="14.5">
      <c r="A118" s="1550">
        <v>111</v>
      </c>
      <c r="B118" s="1560" t="s">
        <v>990</v>
      </c>
      <c r="C118" s="1561" t="s">
        <v>2511</v>
      </c>
      <c r="D118" s="1561" t="s">
        <v>4930</v>
      </c>
      <c r="E118" s="1561" t="s">
        <v>4903</v>
      </c>
      <c r="F118" s="1550" t="s">
        <v>4904</v>
      </c>
      <c r="G118" s="1550">
        <v>104</v>
      </c>
      <c r="H118" s="1550" t="s">
        <v>1914</v>
      </c>
      <c r="I118" s="1550" t="s">
        <v>1037</v>
      </c>
      <c r="J118" s="1562">
        <v>0.26645000000000002</v>
      </c>
      <c r="K118" s="1562" t="s">
        <v>4906</v>
      </c>
      <c r="L118" s="1561" t="s">
        <v>4907</v>
      </c>
      <c r="M118" s="1563">
        <v>44287</v>
      </c>
    </row>
    <row r="119" spans="1:13" s="1353" customFormat="1" ht="14.5">
      <c r="A119" s="1550">
        <v>112</v>
      </c>
      <c r="B119" s="1560" t="s">
        <v>990</v>
      </c>
      <c r="C119" s="1561" t="s">
        <v>2516</v>
      </c>
      <c r="D119" s="1561" t="s">
        <v>4931</v>
      </c>
      <c r="E119" s="1561" t="s">
        <v>4903</v>
      </c>
      <c r="F119" s="1550" t="s">
        <v>4904</v>
      </c>
      <c r="G119" s="1550">
        <v>104</v>
      </c>
      <c r="H119" s="1550" t="s">
        <v>1914</v>
      </c>
      <c r="I119" s="1550" t="s">
        <v>1037</v>
      </c>
      <c r="J119" s="1562">
        <v>0.48801299999999997</v>
      </c>
      <c r="K119" s="1562" t="s">
        <v>4906</v>
      </c>
      <c r="L119" s="1561" t="s">
        <v>4907</v>
      </c>
      <c r="M119" s="1563">
        <v>44287</v>
      </c>
    </row>
    <row r="120" spans="1:13" s="1353" customFormat="1" ht="43.5">
      <c r="A120" s="1550">
        <v>113</v>
      </c>
      <c r="B120" s="1575" t="s">
        <v>990</v>
      </c>
      <c r="C120" s="1576" t="s">
        <v>4943</v>
      </c>
      <c r="D120" s="1561" t="s">
        <v>4944</v>
      </c>
      <c r="E120" s="1561" t="s">
        <v>4903</v>
      </c>
      <c r="F120" s="1550" t="s">
        <v>4904</v>
      </c>
      <c r="G120" s="1550"/>
      <c r="H120" s="1550"/>
      <c r="I120" s="1550"/>
      <c r="J120" s="1562" t="s">
        <v>4945</v>
      </c>
      <c r="K120" s="1562" t="s">
        <v>4945</v>
      </c>
      <c r="L120" s="1561" t="s">
        <v>4946</v>
      </c>
      <c r="M120" s="1563">
        <v>44287</v>
      </c>
    </row>
    <row r="121" spans="1:13" s="1353" customFormat="1" ht="14.5">
      <c r="A121" s="1550">
        <v>114</v>
      </c>
      <c r="B121" s="1575" t="s">
        <v>1015</v>
      </c>
      <c r="C121" s="1576" t="s">
        <v>4653</v>
      </c>
      <c r="D121" s="1576" t="s">
        <v>4902</v>
      </c>
      <c r="E121" s="1561" t="s">
        <v>4903</v>
      </c>
      <c r="F121" s="1550" t="s">
        <v>4904</v>
      </c>
      <c r="G121" s="1550">
        <v>77</v>
      </c>
      <c r="H121" s="1550" t="s">
        <v>1859</v>
      </c>
      <c r="I121" s="1550" t="s">
        <v>985</v>
      </c>
      <c r="J121" s="1562">
        <v>2</v>
      </c>
      <c r="K121" s="1562">
        <v>1.5</v>
      </c>
      <c r="L121" s="1561" t="s">
        <v>4905</v>
      </c>
      <c r="M121" s="1563">
        <v>44287</v>
      </c>
    </row>
    <row r="122" spans="1:13" s="1353" customFormat="1" ht="14.5">
      <c r="A122" s="1550">
        <v>115</v>
      </c>
      <c r="B122" s="1575" t="s">
        <v>1015</v>
      </c>
      <c r="C122" s="1576" t="s">
        <v>4653</v>
      </c>
      <c r="D122" s="1576" t="s">
        <v>4902</v>
      </c>
      <c r="E122" s="1561" t="s">
        <v>4903</v>
      </c>
      <c r="F122" s="1550" t="s">
        <v>4904</v>
      </c>
      <c r="G122" s="1550">
        <v>77</v>
      </c>
      <c r="H122" s="1550" t="s">
        <v>1859</v>
      </c>
      <c r="I122" s="1550" t="s">
        <v>958</v>
      </c>
      <c r="J122" s="1562">
        <v>2</v>
      </c>
      <c r="K122" s="1562">
        <v>1.5</v>
      </c>
      <c r="L122" s="1561" t="s">
        <v>4905</v>
      </c>
      <c r="M122" s="1563">
        <v>44287</v>
      </c>
    </row>
    <row r="123" spans="1:13" s="1353" customFormat="1" ht="14.5">
      <c r="A123" s="1550">
        <v>116</v>
      </c>
      <c r="B123" s="1575" t="s">
        <v>1015</v>
      </c>
      <c r="C123" s="1576" t="s">
        <v>4653</v>
      </c>
      <c r="D123" s="1576" t="s">
        <v>4902</v>
      </c>
      <c r="E123" s="1561" t="s">
        <v>4903</v>
      </c>
      <c r="F123" s="1550" t="s">
        <v>4904</v>
      </c>
      <c r="G123" s="1550">
        <v>77</v>
      </c>
      <c r="H123" s="1550" t="s">
        <v>1859</v>
      </c>
      <c r="I123" s="1550" t="s">
        <v>970</v>
      </c>
      <c r="J123" s="1562">
        <v>2</v>
      </c>
      <c r="K123" s="1562">
        <v>1.5</v>
      </c>
      <c r="L123" s="1561" t="s">
        <v>4905</v>
      </c>
      <c r="M123" s="1563">
        <v>44287</v>
      </c>
    </row>
    <row r="124" spans="1:13" s="1353" customFormat="1" ht="14.5">
      <c r="A124" s="1550">
        <v>117</v>
      </c>
      <c r="B124" s="1560" t="s">
        <v>1015</v>
      </c>
      <c r="C124" s="1561" t="s">
        <v>4659</v>
      </c>
      <c r="D124" s="1561" t="s">
        <v>629</v>
      </c>
      <c r="E124" s="1561" t="s">
        <v>4903</v>
      </c>
      <c r="F124" s="1550" t="s">
        <v>4904</v>
      </c>
      <c r="G124" s="1550">
        <v>67</v>
      </c>
      <c r="H124" s="1550" t="s">
        <v>1857</v>
      </c>
      <c r="I124" s="1550" t="s">
        <v>968</v>
      </c>
      <c r="J124" s="1562">
        <v>348.76805357173879</v>
      </c>
      <c r="K124" s="1562" t="s">
        <v>4906</v>
      </c>
      <c r="L124" s="1561" t="s">
        <v>4907</v>
      </c>
      <c r="M124" s="1563">
        <v>44287</v>
      </c>
    </row>
    <row r="125" spans="1:13" s="1353" customFormat="1" ht="14.5">
      <c r="A125" s="1550">
        <v>118</v>
      </c>
      <c r="B125" s="1560" t="s">
        <v>1015</v>
      </c>
      <c r="C125" s="1561" t="s">
        <v>4659</v>
      </c>
      <c r="D125" s="1561" t="s">
        <v>629</v>
      </c>
      <c r="E125" s="1561" t="s">
        <v>4903</v>
      </c>
      <c r="F125" s="1550" t="s">
        <v>4904</v>
      </c>
      <c r="G125" s="1550">
        <v>67</v>
      </c>
      <c r="H125" s="1550" t="s">
        <v>1857</v>
      </c>
      <c r="I125" s="1550" t="s">
        <v>980</v>
      </c>
      <c r="J125" s="1562">
        <v>348.76805357173879</v>
      </c>
      <c r="K125" s="1562" t="s">
        <v>4906</v>
      </c>
      <c r="L125" s="1561" t="s">
        <v>4907</v>
      </c>
      <c r="M125" s="1563">
        <v>44287</v>
      </c>
    </row>
    <row r="126" spans="1:13" s="1353" customFormat="1" ht="14.5">
      <c r="A126" s="1550">
        <v>119</v>
      </c>
      <c r="B126" s="1560" t="s">
        <v>1015</v>
      </c>
      <c r="C126" s="1561" t="s">
        <v>4659</v>
      </c>
      <c r="D126" s="1561" t="s">
        <v>629</v>
      </c>
      <c r="E126" s="1561" t="s">
        <v>4903</v>
      </c>
      <c r="F126" s="1550" t="s">
        <v>4904</v>
      </c>
      <c r="G126" s="1550">
        <v>67</v>
      </c>
      <c r="H126" s="1550" t="s">
        <v>1857</v>
      </c>
      <c r="I126" s="1550" t="s">
        <v>985</v>
      </c>
      <c r="J126" s="1562">
        <v>348.76805357173879</v>
      </c>
      <c r="K126" s="1562" t="s">
        <v>4906</v>
      </c>
      <c r="L126" s="1561" t="s">
        <v>4907</v>
      </c>
      <c r="M126" s="1563">
        <v>44287</v>
      </c>
    </row>
    <row r="127" spans="1:13" s="1353" customFormat="1" ht="14.5">
      <c r="A127" s="1550">
        <v>120</v>
      </c>
      <c r="B127" s="1560" t="s">
        <v>1015</v>
      </c>
      <c r="C127" s="1561" t="s">
        <v>4659</v>
      </c>
      <c r="D127" s="1561" t="s">
        <v>629</v>
      </c>
      <c r="E127" s="1561" t="s">
        <v>4903</v>
      </c>
      <c r="F127" s="1550" t="s">
        <v>4904</v>
      </c>
      <c r="G127" s="1550">
        <v>67</v>
      </c>
      <c r="H127" s="1550" t="s">
        <v>1857</v>
      </c>
      <c r="I127" s="1550" t="s">
        <v>958</v>
      </c>
      <c r="J127" s="1562">
        <v>348.76805357173879</v>
      </c>
      <c r="K127" s="1562" t="s">
        <v>4906</v>
      </c>
      <c r="L127" s="1561" t="s">
        <v>4907</v>
      </c>
      <c r="M127" s="1563">
        <v>44287</v>
      </c>
    </row>
    <row r="128" spans="1:13" s="1353" customFormat="1" ht="14.5">
      <c r="A128" s="1550">
        <v>121</v>
      </c>
      <c r="B128" s="1560" t="s">
        <v>1015</v>
      </c>
      <c r="C128" s="1561" t="s">
        <v>4659</v>
      </c>
      <c r="D128" s="1561" t="s">
        <v>629</v>
      </c>
      <c r="E128" s="1561" t="s">
        <v>4903</v>
      </c>
      <c r="F128" s="1550" t="s">
        <v>4904</v>
      </c>
      <c r="G128" s="1550">
        <v>67</v>
      </c>
      <c r="H128" s="1550" t="s">
        <v>1857</v>
      </c>
      <c r="I128" s="1550" t="s">
        <v>970</v>
      </c>
      <c r="J128" s="1562">
        <v>348.76805357173879</v>
      </c>
      <c r="K128" s="1562" t="s">
        <v>4906</v>
      </c>
      <c r="L128" s="1561" t="s">
        <v>4907</v>
      </c>
      <c r="M128" s="1563">
        <v>44287</v>
      </c>
    </row>
    <row r="129" spans="1:13" s="1353" customFormat="1" ht="14.5">
      <c r="A129" s="1550">
        <v>122</v>
      </c>
      <c r="B129" s="1560" t="s">
        <v>1015</v>
      </c>
      <c r="C129" s="1561" t="s">
        <v>4659</v>
      </c>
      <c r="D129" s="1561" t="s">
        <v>629</v>
      </c>
      <c r="E129" s="1561" t="s">
        <v>4903</v>
      </c>
      <c r="F129" s="1550" t="s">
        <v>4904</v>
      </c>
      <c r="G129" s="1550">
        <v>92</v>
      </c>
      <c r="H129" s="1550" t="s">
        <v>1862</v>
      </c>
      <c r="I129" s="1550" t="s">
        <v>968</v>
      </c>
      <c r="J129" s="1562" t="s">
        <v>4797</v>
      </c>
      <c r="K129" s="1562" t="s">
        <v>4906</v>
      </c>
      <c r="L129" s="1561" t="s">
        <v>4907</v>
      </c>
      <c r="M129" s="1563">
        <v>44287</v>
      </c>
    </row>
    <row r="130" spans="1:13" s="1353" customFormat="1" ht="14.5">
      <c r="A130" s="1550">
        <v>123</v>
      </c>
      <c r="B130" s="1560" t="s">
        <v>1015</v>
      </c>
      <c r="C130" s="1561" t="s">
        <v>4659</v>
      </c>
      <c r="D130" s="1561" t="s">
        <v>629</v>
      </c>
      <c r="E130" s="1561" t="s">
        <v>4903</v>
      </c>
      <c r="F130" s="1550" t="s">
        <v>4904</v>
      </c>
      <c r="G130" s="1550">
        <v>92</v>
      </c>
      <c r="H130" s="1550" t="s">
        <v>1862</v>
      </c>
      <c r="I130" s="1550" t="s">
        <v>980</v>
      </c>
      <c r="J130" s="1562" t="s">
        <v>4797</v>
      </c>
      <c r="K130" s="1562" t="s">
        <v>4906</v>
      </c>
      <c r="L130" s="1561" t="s">
        <v>4907</v>
      </c>
      <c r="M130" s="1563">
        <v>44287</v>
      </c>
    </row>
    <row r="131" spans="1:13" s="1353" customFormat="1" ht="14.5">
      <c r="A131" s="1550">
        <v>124</v>
      </c>
      <c r="B131" s="1560" t="s">
        <v>1015</v>
      </c>
      <c r="C131" s="1561" t="s">
        <v>4659</v>
      </c>
      <c r="D131" s="1561" t="s">
        <v>629</v>
      </c>
      <c r="E131" s="1561" t="s">
        <v>4903</v>
      </c>
      <c r="F131" s="1550" t="s">
        <v>4904</v>
      </c>
      <c r="G131" s="1550">
        <v>92</v>
      </c>
      <c r="H131" s="1550" t="s">
        <v>1862</v>
      </c>
      <c r="I131" s="1550" t="s">
        <v>985</v>
      </c>
      <c r="J131" s="1562" t="s">
        <v>4797</v>
      </c>
      <c r="K131" s="1562" t="s">
        <v>4906</v>
      </c>
      <c r="L131" s="1561" t="s">
        <v>4907</v>
      </c>
      <c r="M131" s="1563">
        <v>44287</v>
      </c>
    </row>
    <row r="132" spans="1:13" s="1353" customFormat="1" ht="14.5">
      <c r="A132" s="1550">
        <v>125</v>
      </c>
      <c r="B132" s="1560" t="s">
        <v>1015</v>
      </c>
      <c r="C132" s="1561" t="s">
        <v>4659</v>
      </c>
      <c r="D132" s="1561" t="s">
        <v>629</v>
      </c>
      <c r="E132" s="1561" t="s">
        <v>4903</v>
      </c>
      <c r="F132" s="1550" t="s">
        <v>4904</v>
      </c>
      <c r="G132" s="1550">
        <v>92</v>
      </c>
      <c r="H132" s="1550" t="s">
        <v>1862</v>
      </c>
      <c r="I132" s="1550" t="s">
        <v>958</v>
      </c>
      <c r="J132" s="1562" t="s">
        <v>4797</v>
      </c>
      <c r="K132" s="1562" t="s">
        <v>4906</v>
      </c>
      <c r="L132" s="1561" t="s">
        <v>4907</v>
      </c>
      <c r="M132" s="1563">
        <v>44287</v>
      </c>
    </row>
    <row r="133" spans="1:13" s="1353" customFormat="1" ht="14.5">
      <c r="A133" s="1550">
        <v>126</v>
      </c>
      <c r="B133" s="1560" t="s">
        <v>1015</v>
      </c>
      <c r="C133" s="1561" t="s">
        <v>4659</v>
      </c>
      <c r="D133" s="1561" t="s">
        <v>629</v>
      </c>
      <c r="E133" s="1561" t="s">
        <v>4903</v>
      </c>
      <c r="F133" s="1550" t="s">
        <v>4904</v>
      </c>
      <c r="G133" s="1550">
        <v>92</v>
      </c>
      <c r="H133" s="1550" t="s">
        <v>1862</v>
      </c>
      <c r="I133" s="1550" t="s">
        <v>970</v>
      </c>
      <c r="J133" s="1562" t="s">
        <v>4797</v>
      </c>
      <c r="K133" s="1562" t="s">
        <v>4906</v>
      </c>
      <c r="L133" s="1561" t="s">
        <v>4907</v>
      </c>
      <c r="M133" s="1563">
        <v>44287</v>
      </c>
    </row>
    <row r="134" spans="1:13" s="1353" customFormat="1" ht="43.5">
      <c r="A134" s="1550">
        <v>127</v>
      </c>
      <c r="B134" s="1560" t="s">
        <v>1015</v>
      </c>
      <c r="C134" s="1561" t="s">
        <v>4659</v>
      </c>
      <c r="D134" s="1561" t="s">
        <v>629</v>
      </c>
      <c r="E134" s="1561" t="s">
        <v>4903</v>
      </c>
      <c r="F134" s="1550" t="s">
        <v>4904</v>
      </c>
      <c r="G134" s="1550">
        <v>97</v>
      </c>
      <c r="H134" s="1564" t="s">
        <v>1908</v>
      </c>
      <c r="I134" s="1550" t="s">
        <v>1037</v>
      </c>
      <c r="J134" s="1562" t="s">
        <v>4906</v>
      </c>
      <c r="K134" s="1562">
        <v>-0.253</v>
      </c>
      <c r="L134" s="1561" t="s">
        <v>4947</v>
      </c>
      <c r="M134" s="1563">
        <v>44287</v>
      </c>
    </row>
    <row r="135" spans="1:13" s="1353" customFormat="1" ht="14.5">
      <c r="A135" s="1550">
        <v>128</v>
      </c>
      <c r="B135" s="1560" t="s">
        <v>1015</v>
      </c>
      <c r="C135" s="1561" t="s">
        <v>4659</v>
      </c>
      <c r="D135" s="1561" t="s">
        <v>629</v>
      </c>
      <c r="E135" s="1561" t="s">
        <v>4903</v>
      </c>
      <c r="F135" s="1550" t="s">
        <v>4904</v>
      </c>
      <c r="G135" s="1550">
        <v>100</v>
      </c>
      <c r="H135" s="1550" t="s">
        <v>1910</v>
      </c>
      <c r="I135" s="1550" t="s">
        <v>1037</v>
      </c>
      <c r="J135" s="1562">
        <v>-0.70199387493371368</v>
      </c>
      <c r="K135" s="1562" t="s">
        <v>4906</v>
      </c>
      <c r="L135" s="1561" t="s">
        <v>4907</v>
      </c>
      <c r="M135" s="1563">
        <v>44287</v>
      </c>
    </row>
    <row r="136" spans="1:13" s="1353" customFormat="1" ht="14.5">
      <c r="A136" s="1550">
        <v>129</v>
      </c>
      <c r="B136" s="1560" t="s">
        <v>1015</v>
      </c>
      <c r="C136" s="1561" t="s">
        <v>4659</v>
      </c>
      <c r="D136" s="1561" t="s">
        <v>629</v>
      </c>
      <c r="E136" s="1561" t="s">
        <v>4903</v>
      </c>
      <c r="F136" s="1550" t="s">
        <v>4904</v>
      </c>
      <c r="G136" s="1550">
        <v>104</v>
      </c>
      <c r="H136" s="1550" t="s">
        <v>1914</v>
      </c>
      <c r="I136" s="1550" t="s">
        <v>1037</v>
      </c>
      <c r="J136" s="1562">
        <v>0.70199387493371368</v>
      </c>
      <c r="K136" s="1562" t="s">
        <v>4906</v>
      </c>
      <c r="L136" s="1561" t="s">
        <v>4907</v>
      </c>
      <c r="M136" s="1563">
        <v>44287</v>
      </c>
    </row>
    <row r="137" spans="1:13" s="1353" customFormat="1" ht="14.5">
      <c r="A137" s="1550">
        <v>130</v>
      </c>
      <c r="B137" s="1560" t="s">
        <v>1015</v>
      </c>
      <c r="C137" s="1561" t="s">
        <v>4662</v>
      </c>
      <c r="D137" s="1561" t="s">
        <v>4913</v>
      </c>
      <c r="E137" s="1561" t="s">
        <v>4903</v>
      </c>
      <c r="F137" s="1550" t="s">
        <v>4904</v>
      </c>
      <c r="G137" s="1550">
        <v>77</v>
      </c>
      <c r="H137" s="1550" t="s">
        <v>1859</v>
      </c>
      <c r="I137" s="1550" t="s">
        <v>968</v>
      </c>
      <c r="J137" s="1562" t="s">
        <v>4906</v>
      </c>
      <c r="K137" s="1562">
        <v>6.14</v>
      </c>
      <c r="L137" s="1561" t="s">
        <v>4932</v>
      </c>
      <c r="M137" s="1563">
        <v>44287</v>
      </c>
    </row>
    <row r="138" spans="1:13" s="1353" customFormat="1" ht="14.5">
      <c r="A138" s="1550">
        <v>131</v>
      </c>
      <c r="B138" s="1560" t="s">
        <v>1015</v>
      </c>
      <c r="C138" s="1561" t="s">
        <v>4662</v>
      </c>
      <c r="D138" s="1561" t="s">
        <v>4913</v>
      </c>
      <c r="E138" s="1561" t="s">
        <v>4903</v>
      </c>
      <c r="F138" s="1550" t="s">
        <v>4904</v>
      </c>
      <c r="G138" s="1550">
        <v>77</v>
      </c>
      <c r="H138" s="1550" t="s">
        <v>1859</v>
      </c>
      <c r="I138" s="1550" t="s">
        <v>980</v>
      </c>
      <c r="J138" s="1562" t="s">
        <v>4906</v>
      </c>
      <c r="K138" s="1562">
        <v>5.3</v>
      </c>
      <c r="L138" s="1561" t="s">
        <v>4932</v>
      </c>
      <c r="M138" s="1563">
        <v>44287</v>
      </c>
    </row>
    <row r="139" spans="1:13" s="1353" customFormat="1" ht="14.5">
      <c r="A139" s="1550">
        <v>132</v>
      </c>
      <c r="B139" s="1560" t="s">
        <v>1015</v>
      </c>
      <c r="C139" s="1561" t="s">
        <v>4662</v>
      </c>
      <c r="D139" s="1561" t="s">
        <v>4913</v>
      </c>
      <c r="E139" s="1561" t="s">
        <v>4903</v>
      </c>
      <c r="F139" s="1550" t="s">
        <v>4904</v>
      </c>
      <c r="G139" s="1550">
        <v>77</v>
      </c>
      <c r="H139" s="1550" t="s">
        <v>1859</v>
      </c>
      <c r="I139" s="1550" t="s">
        <v>985</v>
      </c>
      <c r="J139" s="1562" t="s">
        <v>4906</v>
      </c>
      <c r="K139" s="1562">
        <v>4.4800000000000004</v>
      </c>
      <c r="L139" s="1561" t="s">
        <v>4932</v>
      </c>
      <c r="M139" s="1563">
        <v>44287</v>
      </c>
    </row>
    <row r="140" spans="1:13" s="1353" customFormat="1" ht="14.5">
      <c r="A140" s="1550">
        <v>133</v>
      </c>
      <c r="B140" s="1560" t="s">
        <v>1015</v>
      </c>
      <c r="C140" s="1561" t="s">
        <v>4662</v>
      </c>
      <c r="D140" s="1561" t="s">
        <v>4913</v>
      </c>
      <c r="E140" s="1561" t="s">
        <v>4903</v>
      </c>
      <c r="F140" s="1550" t="s">
        <v>4904</v>
      </c>
      <c r="G140" s="1550">
        <v>77</v>
      </c>
      <c r="H140" s="1550" t="s">
        <v>1859</v>
      </c>
      <c r="I140" s="1550" t="s">
        <v>958</v>
      </c>
      <c r="J140" s="1562" t="s">
        <v>4906</v>
      </c>
      <c r="K140" s="1562">
        <v>3.64</v>
      </c>
      <c r="L140" s="1561" t="s">
        <v>4932</v>
      </c>
      <c r="M140" s="1563">
        <v>44287</v>
      </c>
    </row>
    <row r="141" spans="1:13" s="1353" customFormat="1" ht="14.5">
      <c r="A141" s="1550">
        <v>134</v>
      </c>
      <c r="B141" s="1560" t="s">
        <v>1015</v>
      </c>
      <c r="C141" s="1561" t="s">
        <v>4662</v>
      </c>
      <c r="D141" s="1561" t="s">
        <v>4913</v>
      </c>
      <c r="E141" s="1561" t="s">
        <v>4903</v>
      </c>
      <c r="F141" s="1550" t="s">
        <v>4904</v>
      </c>
      <c r="G141" s="1550">
        <v>77</v>
      </c>
      <c r="H141" s="1550" t="s">
        <v>1859</v>
      </c>
      <c r="I141" s="1550" t="s">
        <v>970</v>
      </c>
      <c r="J141" s="1562" t="s">
        <v>4906</v>
      </c>
      <c r="K141" s="1562">
        <v>2.81</v>
      </c>
      <c r="L141" s="1561" t="s">
        <v>4932</v>
      </c>
      <c r="M141" s="1563">
        <v>44287</v>
      </c>
    </row>
    <row r="142" spans="1:13" s="1353" customFormat="1" ht="14.5">
      <c r="A142" s="1550">
        <v>135</v>
      </c>
      <c r="B142" s="1560" t="s">
        <v>1015</v>
      </c>
      <c r="C142" s="1561" t="s">
        <v>4665</v>
      </c>
      <c r="D142" s="1561" t="s">
        <v>4911</v>
      </c>
      <c r="E142" s="1561" t="s">
        <v>4903</v>
      </c>
      <c r="F142" s="1550" t="s">
        <v>4904</v>
      </c>
      <c r="G142" s="1550">
        <v>77</v>
      </c>
      <c r="H142" s="1550" t="s">
        <v>1859</v>
      </c>
      <c r="I142" s="1550" t="s">
        <v>968</v>
      </c>
      <c r="J142" s="1562" t="s">
        <v>4906</v>
      </c>
      <c r="K142" s="1562">
        <v>196.1</v>
      </c>
      <c r="L142" s="1561" t="s">
        <v>4912</v>
      </c>
      <c r="M142" s="1563">
        <v>44287</v>
      </c>
    </row>
    <row r="143" spans="1:13" s="1353" customFormat="1" ht="14.5">
      <c r="A143" s="1550">
        <v>136</v>
      </c>
      <c r="B143" s="1560" t="s">
        <v>1015</v>
      </c>
      <c r="C143" s="1561" t="s">
        <v>4665</v>
      </c>
      <c r="D143" s="1561" t="s">
        <v>4911</v>
      </c>
      <c r="E143" s="1561" t="s">
        <v>4903</v>
      </c>
      <c r="F143" s="1550" t="s">
        <v>4904</v>
      </c>
      <c r="G143" s="1550">
        <v>77</v>
      </c>
      <c r="H143" s="1550" t="s">
        <v>1859</v>
      </c>
      <c r="I143" s="1550" t="s">
        <v>980</v>
      </c>
      <c r="J143" s="1562" t="s">
        <v>4906</v>
      </c>
      <c r="K143" s="1562">
        <v>193.6</v>
      </c>
      <c r="L143" s="1561" t="s">
        <v>4912</v>
      </c>
      <c r="M143" s="1563">
        <v>44287</v>
      </c>
    </row>
    <row r="144" spans="1:13" s="1353" customFormat="1" ht="14.5">
      <c r="A144" s="1550">
        <v>137</v>
      </c>
      <c r="B144" s="1560" t="s">
        <v>1015</v>
      </c>
      <c r="C144" s="1561" t="s">
        <v>4665</v>
      </c>
      <c r="D144" s="1561" t="s">
        <v>4911</v>
      </c>
      <c r="E144" s="1561" t="s">
        <v>4903</v>
      </c>
      <c r="F144" s="1550" t="s">
        <v>4904</v>
      </c>
      <c r="G144" s="1550">
        <v>77</v>
      </c>
      <c r="H144" s="1550" t="s">
        <v>1859</v>
      </c>
      <c r="I144" s="1550" t="s">
        <v>985</v>
      </c>
      <c r="J144" s="1562" t="s">
        <v>4906</v>
      </c>
      <c r="K144" s="1562">
        <v>191</v>
      </c>
      <c r="L144" s="1561" t="s">
        <v>4912</v>
      </c>
      <c r="M144" s="1563">
        <v>44287</v>
      </c>
    </row>
    <row r="145" spans="1:13" s="1353" customFormat="1" ht="14.5">
      <c r="A145" s="1550">
        <v>138</v>
      </c>
      <c r="B145" s="1560" t="s">
        <v>1015</v>
      </c>
      <c r="C145" s="1561" t="s">
        <v>4665</v>
      </c>
      <c r="D145" s="1561" t="s">
        <v>4911</v>
      </c>
      <c r="E145" s="1561" t="s">
        <v>4903</v>
      </c>
      <c r="F145" s="1550" t="s">
        <v>4904</v>
      </c>
      <c r="G145" s="1550">
        <v>77</v>
      </c>
      <c r="H145" s="1550" t="s">
        <v>1859</v>
      </c>
      <c r="I145" s="1550" t="s">
        <v>958</v>
      </c>
      <c r="J145" s="1562" t="s">
        <v>4906</v>
      </c>
      <c r="K145" s="1562">
        <v>188.4</v>
      </c>
      <c r="L145" s="1561" t="s">
        <v>4912</v>
      </c>
      <c r="M145" s="1563">
        <v>44287</v>
      </c>
    </row>
    <row r="146" spans="1:13" s="1353" customFormat="1" ht="14.5">
      <c r="A146" s="1550">
        <v>139</v>
      </c>
      <c r="B146" s="1560" t="s">
        <v>1015</v>
      </c>
      <c r="C146" s="1561" t="s">
        <v>4665</v>
      </c>
      <c r="D146" s="1561" t="s">
        <v>4911</v>
      </c>
      <c r="E146" s="1561" t="s">
        <v>4903</v>
      </c>
      <c r="F146" s="1550" t="s">
        <v>4904</v>
      </c>
      <c r="G146" s="1550">
        <v>77</v>
      </c>
      <c r="H146" s="1550" t="s">
        <v>1859</v>
      </c>
      <c r="I146" s="1550" t="s">
        <v>970</v>
      </c>
      <c r="J146" s="1562" t="s">
        <v>4906</v>
      </c>
      <c r="K146" s="1562">
        <v>185.8</v>
      </c>
      <c r="L146" s="1561" t="s">
        <v>4912</v>
      </c>
      <c r="M146" s="1563">
        <v>44287</v>
      </c>
    </row>
    <row r="147" spans="1:13" s="1353" customFormat="1" ht="29">
      <c r="A147" s="1550">
        <v>140</v>
      </c>
      <c r="B147" s="1560" t="s">
        <v>1015</v>
      </c>
      <c r="C147" s="1561" t="s">
        <v>4678</v>
      </c>
      <c r="D147" s="1561" t="s">
        <v>2016</v>
      </c>
      <c r="E147" s="1561" t="s">
        <v>4903</v>
      </c>
      <c r="F147" s="1550" t="s">
        <v>4904</v>
      </c>
      <c r="G147" s="1550">
        <v>101</v>
      </c>
      <c r="H147" s="1564" t="s">
        <v>1911</v>
      </c>
      <c r="I147" s="1550" t="s">
        <v>1037</v>
      </c>
      <c r="J147" s="1562">
        <v>0.139214</v>
      </c>
      <c r="K147" s="1562" t="s">
        <v>4906</v>
      </c>
      <c r="L147" s="1561" t="s">
        <v>4948</v>
      </c>
      <c r="M147" s="1563">
        <v>44287</v>
      </c>
    </row>
    <row r="148" spans="1:13" s="1353" customFormat="1" ht="29">
      <c r="A148" s="1565">
        <v>141</v>
      </c>
      <c r="B148" s="1566" t="s">
        <v>1036</v>
      </c>
      <c r="C148" s="1567" t="s">
        <v>3358</v>
      </c>
      <c r="D148" s="1567" t="s">
        <v>3360</v>
      </c>
      <c r="E148" s="1567" t="s">
        <v>788</v>
      </c>
      <c r="F148" s="1565" t="s">
        <v>4904</v>
      </c>
      <c r="G148" s="1565">
        <v>20</v>
      </c>
      <c r="H148" s="1565" t="s">
        <v>1873</v>
      </c>
      <c r="I148" s="1565" t="s">
        <v>1037</v>
      </c>
      <c r="J148" s="1568" t="s">
        <v>1039</v>
      </c>
      <c r="K148" s="1568" t="s">
        <v>2204</v>
      </c>
      <c r="L148" s="1567" t="s">
        <v>4949</v>
      </c>
      <c r="M148" s="1569">
        <v>44225</v>
      </c>
    </row>
    <row r="149" spans="1:13" s="1353" customFormat="1" ht="29">
      <c r="A149" s="1565">
        <v>142</v>
      </c>
      <c r="B149" s="1566" t="s">
        <v>1036</v>
      </c>
      <c r="C149" s="1567" t="s">
        <v>3405</v>
      </c>
      <c r="D149" s="1567" t="s">
        <v>3407</v>
      </c>
      <c r="E149" s="1567" t="s">
        <v>788</v>
      </c>
      <c r="F149" s="1565" t="s">
        <v>4904</v>
      </c>
      <c r="G149" s="1565">
        <v>41</v>
      </c>
      <c r="H149" s="1565" t="s">
        <v>4915</v>
      </c>
      <c r="I149" s="1565" t="s">
        <v>985</v>
      </c>
      <c r="J149" s="1568">
        <v>44.9</v>
      </c>
      <c r="K149" s="1568">
        <v>55.1</v>
      </c>
      <c r="L149" s="1567" t="s">
        <v>4949</v>
      </c>
      <c r="M149" s="1569">
        <v>44225</v>
      </c>
    </row>
    <row r="150" spans="1:13" s="1353" customFormat="1" ht="14.5">
      <c r="A150" s="1565">
        <v>143</v>
      </c>
      <c r="B150" s="1577" t="s">
        <v>1003</v>
      </c>
      <c r="C150" s="1578" t="s">
        <v>3899</v>
      </c>
      <c r="D150" s="1578" t="s">
        <v>3901</v>
      </c>
      <c r="E150" s="1578" t="s">
        <v>788</v>
      </c>
      <c r="F150" s="1579" t="s">
        <v>4904</v>
      </c>
      <c r="G150" s="1579">
        <v>62</v>
      </c>
      <c r="H150" s="1579" t="s">
        <v>956</v>
      </c>
      <c r="I150" s="1579" t="s">
        <v>968</v>
      </c>
      <c r="J150" s="1580" t="s">
        <v>4906</v>
      </c>
      <c r="K150" s="1580" t="s">
        <v>961</v>
      </c>
      <c r="L150" s="1578" t="s">
        <v>4950</v>
      </c>
      <c r="M150" s="1581">
        <v>44225</v>
      </c>
    </row>
    <row r="151" spans="1:13" s="1353" customFormat="1" ht="14.5">
      <c r="A151" s="1565">
        <v>144</v>
      </c>
      <c r="B151" s="1577" t="s">
        <v>1003</v>
      </c>
      <c r="C151" s="1578" t="s">
        <v>3899</v>
      </c>
      <c r="D151" s="1578" t="s">
        <v>3901</v>
      </c>
      <c r="E151" s="1578" t="s">
        <v>788</v>
      </c>
      <c r="F151" s="1579" t="s">
        <v>4904</v>
      </c>
      <c r="G151" s="1579">
        <v>62</v>
      </c>
      <c r="H151" s="1579" t="s">
        <v>956</v>
      </c>
      <c r="I151" s="1579" t="s">
        <v>980</v>
      </c>
      <c r="J151" s="1580" t="s">
        <v>4906</v>
      </c>
      <c r="K151" s="1580" t="s">
        <v>961</v>
      </c>
      <c r="L151" s="1578" t="s">
        <v>4950</v>
      </c>
      <c r="M151" s="1581">
        <v>44225</v>
      </c>
    </row>
    <row r="152" spans="1:13" s="1353" customFormat="1" ht="14.5">
      <c r="A152" s="1565">
        <v>145</v>
      </c>
      <c r="B152" s="1577" t="s">
        <v>1003</v>
      </c>
      <c r="C152" s="1578" t="s">
        <v>3899</v>
      </c>
      <c r="D152" s="1578" t="s">
        <v>3901</v>
      </c>
      <c r="E152" s="1578" t="s">
        <v>788</v>
      </c>
      <c r="F152" s="1579" t="s">
        <v>4904</v>
      </c>
      <c r="G152" s="1579">
        <v>62</v>
      </c>
      <c r="H152" s="1579" t="s">
        <v>956</v>
      </c>
      <c r="I152" s="1579" t="s">
        <v>985</v>
      </c>
      <c r="J152" s="1580" t="s">
        <v>4906</v>
      </c>
      <c r="K152" s="1580" t="s">
        <v>961</v>
      </c>
      <c r="L152" s="1578" t="s">
        <v>4950</v>
      </c>
      <c r="M152" s="1581">
        <v>44225</v>
      </c>
    </row>
    <row r="153" spans="1:13" s="1353" customFormat="1" ht="14.5">
      <c r="A153" s="1565">
        <v>146</v>
      </c>
      <c r="B153" s="1577" t="s">
        <v>1003</v>
      </c>
      <c r="C153" s="1578" t="s">
        <v>3899</v>
      </c>
      <c r="D153" s="1578" t="s">
        <v>3901</v>
      </c>
      <c r="E153" s="1578" t="s">
        <v>788</v>
      </c>
      <c r="F153" s="1579" t="s">
        <v>4904</v>
      </c>
      <c r="G153" s="1579">
        <v>62</v>
      </c>
      <c r="H153" s="1579" t="s">
        <v>956</v>
      </c>
      <c r="I153" s="1579" t="s">
        <v>958</v>
      </c>
      <c r="J153" s="1580" t="s">
        <v>4906</v>
      </c>
      <c r="K153" s="1580" t="s">
        <v>961</v>
      </c>
      <c r="L153" s="1578" t="s">
        <v>4950</v>
      </c>
      <c r="M153" s="1581">
        <v>44225</v>
      </c>
    </row>
    <row r="154" spans="1:13" s="1353" customFormat="1" ht="14.5">
      <c r="A154" s="1565">
        <v>147</v>
      </c>
      <c r="B154" s="1566" t="s">
        <v>1008</v>
      </c>
      <c r="C154" s="1567" t="s">
        <v>4007</v>
      </c>
      <c r="D154" s="1567" t="s">
        <v>629</v>
      </c>
      <c r="E154" s="1567" t="s">
        <v>788</v>
      </c>
      <c r="F154" s="1565" t="s">
        <v>4904</v>
      </c>
      <c r="G154" s="1565">
        <v>41</v>
      </c>
      <c r="H154" s="1565" t="s">
        <v>4915</v>
      </c>
      <c r="I154" s="1565" t="s">
        <v>968</v>
      </c>
      <c r="J154" s="1568">
        <v>-0.8</v>
      </c>
      <c r="K154" s="1568">
        <v>0.8</v>
      </c>
      <c r="L154" s="1567" t="s">
        <v>4951</v>
      </c>
      <c r="M154" s="1569">
        <v>44225</v>
      </c>
    </row>
    <row r="155" spans="1:13" s="1353" customFormat="1" ht="14.5">
      <c r="A155" s="1565">
        <v>148</v>
      </c>
      <c r="B155" s="1566" t="s">
        <v>1008</v>
      </c>
      <c r="C155" s="1567" t="s">
        <v>4007</v>
      </c>
      <c r="D155" s="1567" t="s">
        <v>629</v>
      </c>
      <c r="E155" s="1567" t="s">
        <v>788</v>
      </c>
      <c r="F155" s="1565" t="s">
        <v>4904</v>
      </c>
      <c r="G155" s="1565">
        <v>41</v>
      </c>
      <c r="H155" s="1565" t="s">
        <v>4915</v>
      </c>
      <c r="I155" s="1565" t="s">
        <v>980</v>
      </c>
      <c r="J155" s="1568">
        <v>-1.9</v>
      </c>
      <c r="K155" s="1568">
        <v>1.9</v>
      </c>
      <c r="L155" s="1567" t="s">
        <v>4951</v>
      </c>
      <c r="M155" s="1569">
        <v>44225</v>
      </c>
    </row>
    <row r="156" spans="1:13" s="1353" customFormat="1" ht="14.5">
      <c r="A156" s="1565">
        <v>149</v>
      </c>
      <c r="B156" s="1566" t="s">
        <v>1008</v>
      </c>
      <c r="C156" s="1567" t="s">
        <v>4007</v>
      </c>
      <c r="D156" s="1567" t="s">
        <v>629</v>
      </c>
      <c r="E156" s="1567" t="s">
        <v>788</v>
      </c>
      <c r="F156" s="1565" t="s">
        <v>4904</v>
      </c>
      <c r="G156" s="1565">
        <v>41</v>
      </c>
      <c r="H156" s="1565" t="s">
        <v>4915</v>
      </c>
      <c r="I156" s="1565" t="s">
        <v>985</v>
      </c>
      <c r="J156" s="1568">
        <v>-3.7</v>
      </c>
      <c r="K156" s="1568">
        <v>3.7</v>
      </c>
      <c r="L156" s="1567" t="s">
        <v>4951</v>
      </c>
      <c r="M156" s="1569">
        <v>44225</v>
      </c>
    </row>
    <row r="157" spans="1:13" s="1353" customFormat="1" ht="14.5">
      <c r="A157" s="1565">
        <v>150</v>
      </c>
      <c r="B157" s="1566" t="s">
        <v>1008</v>
      </c>
      <c r="C157" s="1567" t="s">
        <v>4007</v>
      </c>
      <c r="D157" s="1567" t="s">
        <v>629</v>
      </c>
      <c r="E157" s="1567" t="s">
        <v>788</v>
      </c>
      <c r="F157" s="1565" t="s">
        <v>4904</v>
      </c>
      <c r="G157" s="1565">
        <v>41</v>
      </c>
      <c r="H157" s="1565" t="s">
        <v>4915</v>
      </c>
      <c r="I157" s="1565" t="s">
        <v>958</v>
      </c>
      <c r="J157" s="1568">
        <v>-6.6</v>
      </c>
      <c r="K157" s="1568">
        <v>6.6</v>
      </c>
      <c r="L157" s="1567" t="s">
        <v>4951</v>
      </c>
      <c r="M157" s="1569">
        <v>44225</v>
      </c>
    </row>
    <row r="158" spans="1:13" s="1353" customFormat="1" ht="14.5">
      <c r="A158" s="1565">
        <v>151</v>
      </c>
      <c r="B158" s="1566" t="s">
        <v>1008</v>
      </c>
      <c r="C158" s="1567" t="s">
        <v>4007</v>
      </c>
      <c r="D158" s="1567" t="s">
        <v>629</v>
      </c>
      <c r="E158" s="1567" t="s">
        <v>788</v>
      </c>
      <c r="F158" s="1565" t="s">
        <v>4904</v>
      </c>
      <c r="G158" s="1565">
        <v>41</v>
      </c>
      <c r="H158" s="1565" t="s">
        <v>4915</v>
      </c>
      <c r="I158" s="1565" t="s">
        <v>970</v>
      </c>
      <c r="J158" s="1568">
        <v>-10.8</v>
      </c>
      <c r="K158" s="1568">
        <v>10.8</v>
      </c>
      <c r="L158" s="1567" t="s">
        <v>4951</v>
      </c>
      <c r="M158" s="1569">
        <v>44225</v>
      </c>
    </row>
    <row r="159" spans="1:13" s="1353" customFormat="1" ht="14.5">
      <c r="A159" s="1565">
        <v>152</v>
      </c>
      <c r="B159" s="1566" t="s">
        <v>1008</v>
      </c>
      <c r="C159" s="1567" t="s">
        <v>4007</v>
      </c>
      <c r="D159" s="1567" t="s">
        <v>629</v>
      </c>
      <c r="E159" s="1567" t="s">
        <v>788</v>
      </c>
      <c r="F159" s="1565" t="s">
        <v>4904</v>
      </c>
      <c r="G159" s="1565">
        <v>72</v>
      </c>
      <c r="H159" s="1565" t="s">
        <v>1858</v>
      </c>
      <c r="I159" s="1565" t="s">
        <v>968</v>
      </c>
      <c r="J159" s="1568">
        <v>5</v>
      </c>
      <c r="K159" s="1568">
        <v>-5</v>
      </c>
      <c r="L159" s="1567" t="s">
        <v>4951</v>
      </c>
      <c r="M159" s="1569">
        <v>44225</v>
      </c>
    </row>
    <row r="160" spans="1:13" s="1353" customFormat="1" ht="14.5">
      <c r="A160" s="1565">
        <v>153</v>
      </c>
      <c r="B160" s="1566" t="s">
        <v>1008</v>
      </c>
      <c r="C160" s="1567" t="s">
        <v>4007</v>
      </c>
      <c r="D160" s="1567" t="s">
        <v>629</v>
      </c>
      <c r="E160" s="1567" t="s">
        <v>788</v>
      </c>
      <c r="F160" s="1565" t="s">
        <v>4904</v>
      </c>
      <c r="G160" s="1565">
        <v>72</v>
      </c>
      <c r="H160" s="1565" t="s">
        <v>1858</v>
      </c>
      <c r="I160" s="1565" t="s">
        <v>980</v>
      </c>
      <c r="J160" s="1568">
        <v>5</v>
      </c>
      <c r="K160" s="1568">
        <v>-5</v>
      </c>
      <c r="L160" s="1567" t="s">
        <v>4951</v>
      </c>
      <c r="M160" s="1569">
        <v>44225</v>
      </c>
    </row>
    <row r="161" spans="1:13" s="1353" customFormat="1" ht="14.5">
      <c r="A161" s="1565">
        <v>154</v>
      </c>
      <c r="B161" s="1566" t="s">
        <v>1008</v>
      </c>
      <c r="C161" s="1567" t="s">
        <v>4007</v>
      </c>
      <c r="D161" s="1567" t="s">
        <v>629</v>
      </c>
      <c r="E161" s="1567" t="s">
        <v>788</v>
      </c>
      <c r="F161" s="1565" t="s">
        <v>4904</v>
      </c>
      <c r="G161" s="1565">
        <v>72</v>
      </c>
      <c r="H161" s="1565" t="s">
        <v>1858</v>
      </c>
      <c r="I161" s="1565" t="s">
        <v>985</v>
      </c>
      <c r="J161" s="1568">
        <v>5</v>
      </c>
      <c r="K161" s="1568">
        <v>-5</v>
      </c>
      <c r="L161" s="1567" t="s">
        <v>4951</v>
      </c>
      <c r="M161" s="1569">
        <v>44225</v>
      </c>
    </row>
    <row r="162" spans="1:13" s="1353" customFormat="1" ht="14.5">
      <c r="A162" s="1565">
        <v>155</v>
      </c>
      <c r="B162" s="1566" t="s">
        <v>1008</v>
      </c>
      <c r="C162" s="1567" t="s">
        <v>4007</v>
      </c>
      <c r="D162" s="1567" t="s">
        <v>629</v>
      </c>
      <c r="E162" s="1567" t="s">
        <v>788</v>
      </c>
      <c r="F162" s="1565" t="s">
        <v>4904</v>
      </c>
      <c r="G162" s="1565">
        <v>72</v>
      </c>
      <c r="H162" s="1565" t="s">
        <v>1858</v>
      </c>
      <c r="I162" s="1565" t="s">
        <v>958</v>
      </c>
      <c r="J162" s="1568">
        <v>5</v>
      </c>
      <c r="K162" s="1568">
        <v>-5</v>
      </c>
      <c r="L162" s="1567" t="s">
        <v>4951</v>
      </c>
      <c r="M162" s="1569">
        <v>44225</v>
      </c>
    </row>
    <row r="163" spans="1:13" s="1353" customFormat="1" ht="14.5">
      <c r="A163" s="1565">
        <v>156</v>
      </c>
      <c r="B163" s="1566" t="s">
        <v>1008</v>
      </c>
      <c r="C163" s="1567" t="s">
        <v>4007</v>
      </c>
      <c r="D163" s="1567" t="s">
        <v>629</v>
      </c>
      <c r="E163" s="1567" t="s">
        <v>788</v>
      </c>
      <c r="F163" s="1565" t="s">
        <v>4904</v>
      </c>
      <c r="G163" s="1565">
        <v>72</v>
      </c>
      <c r="H163" s="1565" t="s">
        <v>1858</v>
      </c>
      <c r="I163" s="1565" t="s">
        <v>970</v>
      </c>
      <c r="J163" s="1568">
        <v>5</v>
      </c>
      <c r="K163" s="1568">
        <v>-5</v>
      </c>
      <c r="L163" s="1567" t="s">
        <v>4951</v>
      </c>
      <c r="M163" s="1569">
        <v>44225</v>
      </c>
    </row>
    <row r="164" spans="1:13" s="1353" customFormat="1" ht="14.5">
      <c r="A164" s="1565">
        <v>157</v>
      </c>
      <c r="B164" s="1566" t="s">
        <v>1008</v>
      </c>
      <c r="C164" s="1567" t="s">
        <v>4007</v>
      </c>
      <c r="D164" s="1567" t="s">
        <v>629</v>
      </c>
      <c r="E164" s="1567" t="s">
        <v>788</v>
      </c>
      <c r="F164" s="1565" t="s">
        <v>4904</v>
      </c>
      <c r="G164" s="1565">
        <v>87</v>
      </c>
      <c r="H164" s="1565" t="s">
        <v>1861</v>
      </c>
      <c r="I164" s="1565" t="s">
        <v>968</v>
      </c>
      <c r="J164" s="1568">
        <v>-2.5</v>
      </c>
      <c r="K164" s="1568">
        <v>2.5</v>
      </c>
      <c r="L164" s="1567" t="s">
        <v>4951</v>
      </c>
      <c r="M164" s="1569">
        <v>44225</v>
      </c>
    </row>
    <row r="165" spans="1:13" s="1353" customFormat="1" ht="14.5">
      <c r="A165" s="1565">
        <v>158</v>
      </c>
      <c r="B165" s="1566" t="s">
        <v>1008</v>
      </c>
      <c r="C165" s="1567" t="s">
        <v>4007</v>
      </c>
      <c r="D165" s="1567" t="s">
        <v>629</v>
      </c>
      <c r="E165" s="1567" t="s">
        <v>788</v>
      </c>
      <c r="F165" s="1565" t="s">
        <v>4904</v>
      </c>
      <c r="G165" s="1565">
        <v>87</v>
      </c>
      <c r="H165" s="1565" t="s">
        <v>1861</v>
      </c>
      <c r="I165" s="1565" t="s">
        <v>980</v>
      </c>
      <c r="J165" s="1568">
        <v>-5.0999999999999996</v>
      </c>
      <c r="K165" s="1568">
        <v>5.0999999999999996</v>
      </c>
      <c r="L165" s="1567" t="s">
        <v>4951</v>
      </c>
      <c r="M165" s="1569">
        <v>44225</v>
      </c>
    </row>
    <row r="166" spans="1:13" s="1353" customFormat="1" ht="14.5">
      <c r="A166" s="1565">
        <v>159</v>
      </c>
      <c r="B166" s="1566" t="s">
        <v>1008</v>
      </c>
      <c r="C166" s="1567" t="s">
        <v>4007</v>
      </c>
      <c r="D166" s="1567" t="s">
        <v>629</v>
      </c>
      <c r="E166" s="1567" t="s">
        <v>788</v>
      </c>
      <c r="F166" s="1565" t="s">
        <v>4904</v>
      </c>
      <c r="G166" s="1565">
        <v>87</v>
      </c>
      <c r="H166" s="1565" t="s">
        <v>1861</v>
      </c>
      <c r="I166" s="1565" t="s">
        <v>985</v>
      </c>
      <c r="J166" s="1568">
        <v>-8.9</v>
      </c>
      <c r="K166" s="1568">
        <v>8.9</v>
      </c>
      <c r="L166" s="1567" t="s">
        <v>4951</v>
      </c>
      <c r="M166" s="1569">
        <v>44225</v>
      </c>
    </row>
    <row r="167" spans="1:13" s="1353" customFormat="1" ht="14.5">
      <c r="A167" s="1565">
        <v>160</v>
      </c>
      <c r="B167" s="1566" t="s">
        <v>1008</v>
      </c>
      <c r="C167" s="1567" t="s">
        <v>4007</v>
      </c>
      <c r="D167" s="1567" t="s">
        <v>629</v>
      </c>
      <c r="E167" s="1567" t="s">
        <v>788</v>
      </c>
      <c r="F167" s="1565" t="s">
        <v>4904</v>
      </c>
      <c r="G167" s="1565">
        <v>87</v>
      </c>
      <c r="H167" s="1565" t="s">
        <v>1861</v>
      </c>
      <c r="I167" s="1565" t="s">
        <v>958</v>
      </c>
      <c r="J167" s="1568">
        <v>-13.200000000000001</v>
      </c>
      <c r="K167" s="1568">
        <v>13.2</v>
      </c>
      <c r="L167" s="1567" t="s">
        <v>4951</v>
      </c>
      <c r="M167" s="1569">
        <v>44225</v>
      </c>
    </row>
    <row r="168" spans="1:13" s="1353" customFormat="1" ht="14.5">
      <c r="A168" s="1565">
        <v>161</v>
      </c>
      <c r="B168" s="1566" t="s">
        <v>1008</v>
      </c>
      <c r="C168" s="1567" t="s">
        <v>4007</v>
      </c>
      <c r="D168" s="1567" t="s">
        <v>629</v>
      </c>
      <c r="E168" s="1567" t="s">
        <v>788</v>
      </c>
      <c r="F168" s="1565" t="s">
        <v>4904</v>
      </c>
      <c r="G168" s="1565">
        <v>87</v>
      </c>
      <c r="H168" s="1565" t="s">
        <v>1861</v>
      </c>
      <c r="I168" s="1565" t="s">
        <v>970</v>
      </c>
      <c r="J168" s="1568">
        <v>-17.200000000000003</v>
      </c>
      <c r="K168" s="1568">
        <v>17.2</v>
      </c>
      <c r="L168" s="1567" t="s">
        <v>4951</v>
      </c>
      <c r="M168" s="1569">
        <v>44225</v>
      </c>
    </row>
    <row r="169" spans="1:13" s="1353" customFormat="1" ht="43.5">
      <c r="A169" s="1565">
        <v>162</v>
      </c>
      <c r="B169" s="1566" t="s">
        <v>4952</v>
      </c>
      <c r="C169" s="1567" t="s">
        <v>1037</v>
      </c>
      <c r="D169" s="1567" t="s">
        <v>4953</v>
      </c>
      <c r="E169" s="1567" t="s">
        <v>4954</v>
      </c>
      <c r="F169" s="1565" t="s">
        <v>4955</v>
      </c>
      <c r="G169" s="1565">
        <v>22</v>
      </c>
      <c r="H169" s="1582" t="s">
        <v>4956</v>
      </c>
      <c r="I169" s="1565" t="s">
        <v>3996</v>
      </c>
      <c r="J169" s="1568" t="s">
        <v>4906</v>
      </c>
      <c r="K169" s="1583">
        <v>0</v>
      </c>
      <c r="L169" s="1567" t="s">
        <v>4957</v>
      </c>
      <c r="M169" s="1569">
        <v>44327</v>
      </c>
    </row>
    <row r="170" spans="1:13" s="1353" customFormat="1" ht="14.5">
      <c r="A170" s="1565">
        <v>163</v>
      </c>
      <c r="B170" s="1566" t="s">
        <v>1012</v>
      </c>
      <c r="C170" s="1567" t="s">
        <v>4573</v>
      </c>
      <c r="D170" s="1567" t="s">
        <v>4575</v>
      </c>
      <c r="E170" s="1567" t="s">
        <v>788</v>
      </c>
      <c r="F170" s="1565" t="s">
        <v>4904</v>
      </c>
      <c r="G170" s="1565">
        <v>97</v>
      </c>
      <c r="H170" s="1565" t="s">
        <v>4958</v>
      </c>
      <c r="I170" s="1565" t="s">
        <v>1037</v>
      </c>
      <c r="J170" s="1565">
        <v>-0.2888</v>
      </c>
      <c r="K170" s="1584">
        <v>-4.2500000000000003E-2</v>
      </c>
      <c r="L170" s="1567" t="s">
        <v>4959</v>
      </c>
      <c r="M170" s="1569">
        <v>44328</v>
      </c>
    </row>
    <row r="171" spans="1:13" s="1353" customFormat="1" ht="14.5">
      <c r="A171" s="1565">
        <v>164</v>
      </c>
      <c r="B171" s="1566" t="s">
        <v>982</v>
      </c>
      <c r="C171" s="1567" t="s">
        <v>4373</v>
      </c>
      <c r="D171" s="1567" t="s">
        <v>4375</v>
      </c>
      <c r="E171" s="1567" t="s">
        <v>788</v>
      </c>
      <c r="F171" s="1565" t="s">
        <v>4904</v>
      </c>
      <c r="G171" s="1565">
        <v>97</v>
      </c>
      <c r="H171" s="1565" t="s">
        <v>4958</v>
      </c>
      <c r="I171" s="1565" t="s">
        <v>1037</v>
      </c>
      <c r="J171" s="1585">
        <v>-8.0000000000000004E-4</v>
      </c>
      <c r="K171" s="1585">
        <v>-7.6000000000000004E-4</v>
      </c>
      <c r="L171" s="1567" t="s">
        <v>4960</v>
      </c>
      <c r="M171" s="1569">
        <v>44328</v>
      </c>
    </row>
    <row r="172" spans="1:13" s="1353" customFormat="1" ht="43.5">
      <c r="A172" s="1565">
        <v>165</v>
      </c>
      <c r="B172" s="1586" t="s">
        <v>1033</v>
      </c>
      <c r="C172" s="1567" t="s">
        <v>2942</v>
      </c>
      <c r="D172" s="1567" t="s">
        <v>4961</v>
      </c>
      <c r="E172" s="1567" t="s">
        <v>4954</v>
      </c>
      <c r="F172" s="1565" t="s">
        <v>4904</v>
      </c>
      <c r="G172" s="1565">
        <v>41</v>
      </c>
      <c r="H172" s="1565" t="s">
        <v>4915</v>
      </c>
      <c r="I172" s="1565" t="s">
        <v>4962</v>
      </c>
      <c r="J172" s="1582" t="s">
        <v>4963</v>
      </c>
      <c r="K172" s="1582" t="s">
        <v>4964</v>
      </c>
      <c r="L172" s="1567" t="s">
        <v>4965</v>
      </c>
      <c r="M172" s="1569">
        <v>44328</v>
      </c>
    </row>
    <row r="173" spans="1:13" s="1353" customFormat="1" ht="43.5">
      <c r="A173" s="1565">
        <v>166</v>
      </c>
      <c r="B173" s="1566" t="s">
        <v>1033</v>
      </c>
      <c r="C173" s="1567" t="s">
        <v>2950</v>
      </c>
      <c r="D173" s="1567" t="s">
        <v>629</v>
      </c>
      <c r="E173" s="1567" t="s">
        <v>4954</v>
      </c>
      <c r="F173" s="1565" t="s">
        <v>4904</v>
      </c>
      <c r="G173" s="1565">
        <v>41</v>
      </c>
      <c r="H173" s="1565" t="s">
        <v>4915</v>
      </c>
      <c r="I173" s="1565" t="s">
        <v>4962</v>
      </c>
      <c r="J173" s="1582" t="s">
        <v>4964</v>
      </c>
      <c r="K173" s="1582" t="s">
        <v>4966</v>
      </c>
      <c r="L173" s="1567" t="s">
        <v>4965</v>
      </c>
      <c r="M173" s="1569">
        <v>44328</v>
      </c>
    </row>
    <row r="174" spans="1:13" s="1353" customFormat="1" ht="43.5">
      <c r="A174" s="1565">
        <v>167</v>
      </c>
      <c r="B174" s="1586" t="s">
        <v>1033</v>
      </c>
      <c r="C174" s="1567" t="s">
        <v>2962</v>
      </c>
      <c r="D174" s="1567" t="s">
        <v>4911</v>
      </c>
      <c r="E174" s="1567" t="s">
        <v>4954</v>
      </c>
      <c r="F174" s="1565" t="s">
        <v>4904</v>
      </c>
      <c r="G174" s="1565">
        <v>41</v>
      </c>
      <c r="H174" s="1565" t="s">
        <v>4915</v>
      </c>
      <c r="I174" s="1565" t="s">
        <v>4962</v>
      </c>
      <c r="J174" s="1582" t="s">
        <v>4964</v>
      </c>
      <c r="K174" s="1582" t="s">
        <v>4966</v>
      </c>
      <c r="L174" s="1567" t="s">
        <v>4967</v>
      </c>
      <c r="M174" s="1569">
        <v>44328</v>
      </c>
    </row>
    <row r="175" spans="1:13" s="1353" customFormat="1" ht="43.5">
      <c r="A175" s="1565">
        <v>168</v>
      </c>
      <c r="B175" s="1566" t="s">
        <v>1033</v>
      </c>
      <c r="C175" s="1567" t="s">
        <v>3024</v>
      </c>
      <c r="D175" s="1567" t="s">
        <v>2595</v>
      </c>
      <c r="E175" s="1567" t="s">
        <v>4954</v>
      </c>
      <c r="F175" s="1565" t="s">
        <v>4904</v>
      </c>
      <c r="G175" s="1565">
        <v>41</v>
      </c>
      <c r="H175" s="1565" t="s">
        <v>4915</v>
      </c>
      <c r="I175" s="1565" t="s">
        <v>4962</v>
      </c>
      <c r="J175" s="1582" t="s">
        <v>4964</v>
      </c>
      <c r="K175" s="1582" t="s">
        <v>4963</v>
      </c>
      <c r="L175" s="1567" t="s">
        <v>4965</v>
      </c>
      <c r="M175" s="1569">
        <v>44328</v>
      </c>
    </row>
    <row r="176" spans="1:13" s="1353" customFormat="1" ht="43.5">
      <c r="A176" s="1565">
        <v>169</v>
      </c>
      <c r="B176" s="1586" t="s">
        <v>1033</v>
      </c>
      <c r="C176" s="1567" t="s">
        <v>1164</v>
      </c>
      <c r="D176" s="1567" t="s">
        <v>4968</v>
      </c>
      <c r="E176" s="1567" t="s">
        <v>4954</v>
      </c>
      <c r="F176" s="1565" t="s">
        <v>4904</v>
      </c>
      <c r="G176" s="1565">
        <v>41</v>
      </c>
      <c r="H176" s="1565" t="s">
        <v>4915</v>
      </c>
      <c r="I176" s="1565" t="s">
        <v>4962</v>
      </c>
      <c r="J176" s="1582" t="s">
        <v>4966</v>
      </c>
      <c r="K176" s="1582" t="s">
        <v>4964</v>
      </c>
      <c r="L176" s="1567" t="s">
        <v>4965</v>
      </c>
      <c r="M176" s="1569">
        <v>44328</v>
      </c>
    </row>
    <row r="177" spans="1:13" s="1353" customFormat="1" ht="43.5">
      <c r="A177" s="1565">
        <v>170</v>
      </c>
      <c r="B177" s="1566" t="s">
        <v>1033</v>
      </c>
      <c r="C177" s="1567" t="s">
        <v>3045</v>
      </c>
      <c r="D177" s="1567" t="s">
        <v>3048</v>
      </c>
      <c r="E177" s="1567" t="s">
        <v>4954</v>
      </c>
      <c r="F177" s="1565" t="s">
        <v>4904</v>
      </c>
      <c r="G177" s="1565">
        <v>41</v>
      </c>
      <c r="H177" s="1565" t="s">
        <v>4915</v>
      </c>
      <c r="I177" s="1565" t="s">
        <v>4962</v>
      </c>
      <c r="J177" s="1582" t="s">
        <v>4963</v>
      </c>
      <c r="K177" s="1582" t="s">
        <v>4966</v>
      </c>
      <c r="L177" s="1567" t="s">
        <v>4965</v>
      </c>
      <c r="M177" s="1569">
        <v>44328</v>
      </c>
    </row>
    <row r="178" spans="1:13" s="1353" customFormat="1" ht="43.5">
      <c r="A178" s="1565">
        <v>171</v>
      </c>
      <c r="B178" s="1586" t="s">
        <v>1033</v>
      </c>
      <c r="C178" s="1567" t="s">
        <v>3074</v>
      </c>
      <c r="D178" s="1567" t="s">
        <v>3076</v>
      </c>
      <c r="E178" s="1567" t="s">
        <v>4954</v>
      </c>
      <c r="F178" s="1565" t="s">
        <v>4904</v>
      </c>
      <c r="G178" s="1565">
        <v>41</v>
      </c>
      <c r="H178" s="1565" t="s">
        <v>4915</v>
      </c>
      <c r="I178" s="1582" t="s">
        <v>4969</v>
      </c>
      <c r="J178" s="1582" t="s">
        <v>4963</v>
      </c>
      <c r="K178" s="1582" t="s">
        <v>4966</v>
      </c>
      <c r="L178" s="1567" t="s">
        <v>4965</v>
      </c>
      <c r="M178" s="1569">
        <v>44328</v>
      </c>
    </row>
    <row r="179" spans="1:13" s="1353" customFormat="1" ht="29">
      <c r="A179" s="1565">
        <v>172</v>
      </c>
      <c r="B179" s="1566" t="s">
        <v>4952</v>
      </c>
      <c r="C179" s="1566" t="s">
        <v>1037</v>
      </c>
      <c r="D179" s="1567" t="s">
        <v>4970</v>
      </c>
      <c r="E179" s="1567" t="s">
        <v>788</v>
      </c>
      <c r="F179" s="1565" t="s">
        <v>4904</v>
      </c>
      <c r="G179" s="1582" t="s">
        <v>4971</v>
      </c>
      <c r="H179" s="1565" t="s">
        <v>4972</v>
      </c>
      <c r="I179" s="1565" t="s">
        <v>1037</v>
      </c>
      <c r="J179" s="1582" t="s">
        <v>4973</v>
      </c>
      <c r="K179" s="1582" t="s">
        <v>4974</v>
      </c>
      <c r="L179" s="1587" t="s">
        <v>4975</v>
      </c>
      <c r="M179" s="1569">
        <v>44329</v>
      </c>
    </row>
    <row r="180" spans="1:13" s="1353" customFormat="1" ht="43.5">
      <c r="A180" s="1565">
        <v>173</v>
      </c>
      <c r="B180" s="1566" t="s">
        <v>982</v>
      </c>
      <c r="C180" s="1567" t="s">
        <v>4183</v>
      </c>
      <c r="D180" s="1567" t="s">
        <v>4976</v>
      </c>
      <c r="E180" s="1567" t="s">
        <v>4954</v>
      </c>
      <c r="F180" s="1565" t="s">
        <v>4904</v>
      </c>
      <c r="G180" s="1565">
        <v>87</v>
      </c>
      <c r="H180" s="1565" t="s">
        <v>1861</v>
      </c>
      <c r="I180" s="1565" t="s">
        <v>968</v>
      </c>
      <c r="J180" s="1588">
        <v>1.1805555555555564E-3</v>
      </c>
      <c r="K180" s="1588">
        <v>3.4606481481481485E-3</v>
      </c>
      <c r="L180" s="1567" t="s">
        <v>4977</v>
      </c>
      <c r="M180" s="1569">
        <v>44334</v>
      </c>
    </row>
    <row r="181" spans="1:13" s="1353" customFormat="1" ht="43.5">
      <c r="A181" s="1565">
        <v>174</v>
      </c>
      <c r="B181" s="1566" t="s">
        <v>982</v>
      </c>
      <c r="C181" s="1567" t="s">
        <v>4183</v>
      </c>
      <c r="D181" s="1567" t="s">
        <v>4976</v>
      </c>
      <c r="E181" s="1567" t="s">
        <v>4954</v>
      </c>
      <c r="F181" s="1565" t="s">
        <v>4904</v>
      </c>
      <c r="G181" s="1565">
        <v>87</v>
      </c>
      <c r="H181" s="1565" t="s">
        <v>1861</v>
      </c>
      <c r="I181" s="1565" t="s">
        <v>980</v>
      </c>
      <c r="J181" s="1588">
        <v>1.2037037037037038E-3</v>
      </c>
      <c r="K181" s="1588">
        <v>3.0092592592592588E-3</v>
      </c>
      <c r="L181" s="1567" t="s">
        <v>4977</v>
      </c>
      <c r="M181" s="1569">
        <v>44334</v>
      </c>
    </row>
    <row r="182" spans="1:13" s="1353" customFormat="1" ht="43.5">
      <c r="A182" s="1565">
        <v>175</v>
      </c>
      <c r="B182" s="1566" t="s">
        <v>982</v>
      </c>
      <c r="C182" s="1567" t="s">
        <v>4183</v>
      </c>
      <c r="D182" s="1567" t="s">
        <v>4976</v>
      </c>
      <c r="E182" s="1567" t="s">
        <v>4954</v>
      </c>
      <c r="F182" s="1565" t="s">
        <v>4904</v>
      </c>
      <c r="G182" s="1565">
        <v>87</v>
      </c>
      <c r="H182" s="1565" t="s">
        <v>1861</v>
      </c>
      <c r="I182" s="1565" t="s">
        <v>985</v>
      </c>
      <c r="J182" s="1588">
        <v>1.1458333333333342E-3</v>
      </c>
      <c r="K182" s="1588">
        <v>2.615740740740741E-3</v>
      </c>
      <c r="L182" s="1567" t="s">
        <v>4977</v>
      </c>
      <c r="M182" s="1569">
        <v>44334</v>
      </c>
    </row>
    <row r="183" spans="1:13" s="1353" customFormat="1" ht="43.5">
      <c r="A183" s="1565">
        <v>176</v>
      </c>
      <c r="B183" s="1566" t="s">
        <v>982</v>
      </c>
      <c r="C183" s="1567" t="s">
        <v>4183</v>
      </c>
      <c r="D183" s="1567" t="s">
        <v>4976</v>
      </c>
      <c r="E183" s="1567" t="s">
        <v>4954</v>
      </c>
      <c r="F183" s="1565" t="s">
        <v>4904</v>
      </c>
      <c r="G183" s="1565">
        <v>87</v>
      </c>
      <c r="H183" s="1565" t="s">
        <v>1861</v>
      </c>
      <c r="I183" s="1565" t="s">
        <v>958</v>
      </c>
      <c r="J183" s="1588">
        <v>1.3773148148148147E-3</v>
      </c>
      <c r="K183" s="1588">
        <v>2.1990740740740742E-3</v>
      </c>
      <c r="L183" s="1567" t="s">
        <v>4977</v>
      </c>
      <c r="M183" s="1569">
        <v>44334</v>
      </c>
    </row>
    <row r="184" spans="1:13" s="1353" customFormat="1" ht="43.5">
      <c r="A184" s="1565">
        <v>177</v>
      </c>
      <c r="B184" s="1566" t="s">
        <v>982</v>
      </c>
      <c r="C184" s="1567" t="s">
        <v>4183</v>
      </c>
      <c r="D184" s="1567" t="s">
        <v>4976</v>
      </c>
      <c r="E184" s="1567" t="s">
        <v>4954</v>
      </c>
      <c r="F184" s="1565" t="s">
        <v>4904</v>
      </c>
      <c r="G184" s="1565">
        <v>87</v>
      </c>
      <c r="H184" s="1565" t="s">
        <v>1861</v>
      </c>
      <c r="I184" s="1565" t="s">
        <v>970</v>
      </c>
      <c r="J184" s="1588">
        <v>1.3888888888888889E-3</v>
      </c>
      <c r="K184" s="1588">
        <v>1.8865740740740742E-3</v>
      </c>
      <c r="L184" s="1567" t="s">
        <v>4977</v>
      </c>
      <c r="M184" s="1569">
        <v>44334</v>
      </c>
    </row>
    <row r="185" spans="1:13" s="1353" customFormat="1" ht="43.5">
      <c r="A185" s="1565">
        <v>178</v>
      </c>
      <c r="B185" s="1566" t="s">
        <v>982</v>
      </c>
      <c r="C185" s="1567" t="s">
        <v>4978</v>
      </c>
      <c r="D185" s="1567" t="s">
        <v>4979</v>
      </c>
      <c r="E185" s="1567" t="s">
        <v>4954</v>
      </c>
      <c r="F185" s="1565" t="s">
        <v>4904</v>
      </c>
      <c r="G185" s="1565">
        <v>87</v>
      </c>
      <c r="H185" s="1565" t="s">
        <v>1861</v>
      </c>
      <c r="I185" s="1565" t="s">
        <v>968</v>
      </c>
      <c r="J185" s="1568" t="s">
        <v>4906</v>
      </c>
      <c r="K185" s="1583">
        <v>5</v>
      </c>
      <c r="L185" s="1567" t="s">
        <v>4977</v>
      </c>
      <c r="M185" s="1569">
        <v>44334</v>
      </c>
    </row>
    <row r="186" spans="1:13" s="1353" customFormat="1" ht="43.5">
      <c r="A186" s="1565">
        <v>179</v>
      </c>
      <c r="B186" s="1566" t="s">
        <v>982</v>
      </c>
      <c r="C186" s="1567" t="s">
        <v>4978</v>
      </c>
      <c r="D186" s="1567" t="s">
        <v>4979</v>
      </c>
      <c r="E186" s="1567" t="s">
        <v>4954</v>
      </c>
      <c r="F186" s="1565" t="s">
        <v>4904</v>
      </c>
      <c r="G186" s="1565">
        <v>87</v>
      </c>
      <c r="H186" s="1565" t="s">
        <v>1861</v>
      </c>
      <c r="I186" s="1565" t="s">
        <v>980</v>
      </c>
      <c r="J186" s="1568" t="s">
        <v>4906</v>
      </c>
      <c r="K186" s="1583">
        <v>50</v>
      </c>
      <c r="L186" s="1567" t="s">
        <v>4977</v>
      </c>
      <c r="M186" s="1569">
        <v>44334</v>
      </c>
    </row>
    <row r="187" spans="1:13" s="1353" customFormat="1" ht="43.5">
      <c r="A187" s="1565">
        <v>180</v>
      </c>
      <c r="B187" s="1566" t="s">
        <v>982</v>
      </c>
      <c r="C187" s="1567" t="s">
        <v>4978</v>
      </c>
      <c r="D187" s="1567" t="s">
        <v>4979</v>
      </c>
      <c r="E187" s="1567" t="s">
        <v>4954</v>
      </c>
      <c r="F187" s="1565" t="s">
        <v>4904</v>
      </c>
      <c r="G187" s="1565">
        <v>87</v>
      </c>
      <c r="H187" s="1565" t="s">
        <v>1861</v>
      </c>
      <c r="I187" s="1565" t="s">
        <v>985</v>
      </c>
      <c r="J187" s="1568" t="s">
        <v>4906</v>
      </c>
      <c r="K187" s="1583">
        <v>100</v>
      </c>
      <c r="L187" s="1567" t="s">
        <v>4977</v>
      </c>
      <c r="M187" s="1569">
        <v>44334</v>
      </c>
    </row>
    <row r="188" spans="1:13" s="1353" customFormat="1" ht="43.5">
      <c r="A188" s="1565">
        <v>181</v>
      </c>
      <c r="B188" s="1566" t="s">
        <v>982</v>
      </c>
      <c r="C188" s="1567" t="s">
        <v>4978</v>
      </c>
      <c r="D188" s="1567" t="s">
        <v>4979</v>
      </c>
      <c r="E188" s="1567" t="s">
        <v>4954</v>
      </c>
      <c r="F188" s="1565" t="s">
        <v>4904</v>
      </c>
      <c r="G188" s="1565">
        <v>87</v>
      </c>
      <c r="H188" s="1565" t="s">
        <v>1861</v>
      </c>
      <c r="I188" s="1565" t="s">
        <v>958</v>
      </c>
      <c r="J188" s="1568" t="s">
        <v>4906</v>
      </c>
      <c r="K188" s="1583">
        <v>250</v>
      </c>
      <c r="L188" s="1567" t="s">
        <v>4977</v>
      </c>
      <c r="M188" s="1569">
        <v>44334</v>
      </c>
    </row>
    <row r="189" spans="1:13" s="1353" customFormat="1" ht="43.5">
      <c r="A189" s="1565">
        <v>182</v>
      </c>
      <c r="B189" s="1566" t="s">
        <v>1015</v>
      </c>
      <c r="C189" s="1567" t="s">
        <v>4700</v>
      </c>
      <c r="D189" s="1567" t="s">
        <v>2124</v>
      </c>
      <c r="E189" s="1567" t="s">
        <v>4954</v>
      </c>
      <c r="F189" s="1565" t="s">
        <v>4904</v>
      </c>
      <c r="G189" s="1565">
        <v>87</v>
      </c>
      <c r="H189" s="1565" t="s">
        <v>1861</v>
      </c>
      <c r="I189" s="1565" t="s">
        <v>968</v>
      </c>
      <c r="J189" s="1568">
        <v>3154.7</v>
      </c>
      <c r="K189" s="1589">
        <v>3924</v>
      </c>
      <c r="L189" s="1567" t="s">
        <v>4977</v>
      </c>
      <c r="M189" s="1569">
        <v>44335</v>
      </c>
    </row>
    <row r="190" spans="1:13" s="1353" customFormat="1" ht="43.5">
      <c r="A190" s="1565">
        <v>183</v>
      </c>
      <c r="B190" s="1566" t="s">
        <v>1015</v>
      </c>
      <c r="C190" s="1567" t="s">
        <v>4700</v>
      </c>
      <c r="D190" s="1567" t="s">
        <v>2124</v>
      </c>
      <c r="E190" s="1567" t="s">
        <v>4954</v>
      </c>
      <c r="F190" s="1565" t="s">
        <v>4904</v>
      </c>
      <c r="G190" s="1565">
        <v>87</v>
      </c>
      <c r="H190" s="1565" t="s">
        <v>1861</v>
      </c>
      <c r="I190" s="1565" t="s">
        <v>980</v>
      </c>
      <c r="J190" s="1568">
        <v>2927.4000000000005</v>
      </c>
      <c r="K190" s="1589">
        <v>3702</v>
      </c>
      <c r="L190" s="1567" t="s">
        <v>4977</v>
      </c>
      <c r="M190" s="1569">
        <v>44335</v>
      </c>
    </row>
    <row r="191" spans="1:13" s="1353" customFormat="1" ht="43.5">
      <c r="A191" s="1565">
        <v>184</v>
      </c>
      <c r="B191" s="1566" t="s">
        <v>1015</v>
      </c>
      <c r="C191" s="1567" t="s">
        <v>4700</v>
      </c>
      <c r="D191" s="1567" t="s">
        <v>2124</v>
      </c>
      <c r="E191" s="1567" t="s">
        <v>4954</v>
      </c>
      <c r="F191" s="1565" t="s">
        <v>4904</v>
      </c>
      <c r="G191" s="1565">
        <v>87</v>
      </c>
      <c r="H191" s="1565" t="s">
        <v>1861</v>
      </c>
      <c r="I191" s="1565" t="s">
        <v>985</v>
      </c>
      <c r="J191" s="1568">
        <v>2662.0999999999995</v>
      </c>
      <c r="K191" s="1589">
        <v>3519</v>
      </c>
      <c r="L191" s="1567" t="s">
        <v>4977</v>
      </c>
      <c r="M191" s="1569">
        <v>44335</v>
      </c>
    </row>
    <row r="192" spans="1:13" s="1353" customFormat="1" ht="43.5">
      <c r="A192" s="1565">
        <v>185</v>
      </c>
      <c r="B192" s="1566" t="s">
        <v>1015</v>
      </c>
      <c r="C192" s="1567" t="s">
        <v>4700</v>
      </c>
      <c r="D192" s="1567" t="s">
        <v>2124</v>
      </c>
      <c r="E192" s="1567" t="s">
        <v>4954</v>
      </c>
      <c r="F192" s="1565" t="s">
        <v>4904</v>
      </c>
      <c r="G192" s="1565">
        <v>87</v>
      </c>
      <c r="H192" s="1565" t="s">
        <v>1861</v>
      </c>
      <c r="I192" s="1565" t="s">
        <v>958</v>
      </c>
      <c r="J192" s="1568">
        <v>2368.8000000000002</v>
      </c>
      <c r="K192" s="1589">
        <v>3248</v>
      </c>
      <c r="L192" s="1567" t="s">
        <v>4977</v>
      </c>
      <c r="M192" s="1569">
        <v>44335</v>
      </c>
    </row>
    <row r="193" spans="1:13" s="1353" customFormat="1" ht="43.5">
      <c r="A193" s="1565">
        <v>186</v>
      </c>
      <c r="B193" s="1566" t="s">
        <v>1015</v>
      </c>
      <c r="C193" s="1567" t="s">
        <v>4700</v>
      </c>
      <c r="D193" s="1567" t="s">
        <v>2124</v>
      </c>
      <c r="E193" s="1567" t="s">
        <v>4954</v>
      </c>
      <c r="F193" s="1565" t="s">
        <v>4904</v>
      </c>
      <c r="G193" s="1565">
        <v>87</v>
      </c>
      <c r="H193" s="1565" t="s">
        <v>1861</v>
      </c>
      <c r="I193" s="1565" t="s">
        <v>970</v>
      </c>
      <c r="J193" s="1568">
        <v>2246.5</v>
      </c>
      <c r="K193" s="1589">
        <v>2957</v>
      </c>
      <c r="L193" s="1567" t="s">
        <v>4977</v>
      </c>
      <c r="M193" s="1569">
        <v>44335</v>
      </c>
    </row>
    <row r="194" spans="1:13" s="1353" customFormat="1" ht="43.5">
      <c r="A194" s="1565">
        <v>187</v>
      </c>
      <c r="B194" s="1567" t="s">
        <v>4980</v>
      </c>
      <c r="C194" s="1567" t="s">
        <v>1037</v>
      </c>
      <c r="D194" s="1567" t="s">
        <v>4953</v>
      </c>
      <c r="E194" s="1567" t="s">
        <v>4954</v>
      </c>
      <c r="F194" s="1565" t="s">
        <v>4904</v>
      </c>
      <c r="G194" s="1565">
        <v>22</v>
      </c>
      <c r="H194" s="1565" t="s">
        <v>4981</v>
      </c>
      <c r="I194" s="1565" t="s">
        <v>1037</v>
      </c>
      <c r="J194" s="1582" t="s">
        <v>4973</v>
      </c>
      <c r="K194" s="1565" t="s">
        <v>4982</v>
      </c>
      <c r="L194" s="1567" t="s">
        <v>4983</v>
      </c>
      <c r="M194" s="1569">
        <v>44335</v>
      </c>
    </row>
    <row r="195" spans="1:13" s="1353" customFormat="1" ht="58">
      <c r="A195" s="1565">
        <v>188</v>
      </c>
      <c r="B195" s="1567" t="s">
        <v>4984</v>
      </c>
      <c r="C195" s="1567" t="s">
        <v>1037</v>
      </c>
      <c r="D195" s="1567" t="s">
        <v>4953</v>
      </c>
      <c r="E195" s="1567" t="s">
        <v>4954</v>
      </c>
      <c r="F195" s="1565" t="s">
        <v>4904</v>
      </c>
      <c r="G195" s="1565">
        <v>22</v>
      </c>
      <c r="H195" s="1565" t="s">
        <v>4981</v>
      </c>
      <c r="I195" s="1565" t="s">
        <v>1037</v>
      </c>
      <c r="J195" s="1582" t="s">
        <v>4973</v>
      </c>
      <c r="K195" s="1565" t="s">
        <v>4982</v>
      </c>
      <c r="L195" s="1567" t="s">
        <v>4983</v>
      </c>
      <c r="M195" s="1569">
        <v>44335</v>
      </c>
    </row>
    <row r="196" spans="1:13" s="1353" customFormat="1" ht="43.5">
      <c r="A196" s="1565">
        <v>189</v>
      </c>
      <c r="B196" s="1566" t="s">
        <v>1022</v>
      </c>
      <c r="C196" s="1567" t="s">
        <v>2228</v>
      </c>
      <c r="D196" s="1567" t="s">
        <v>1923</v>
      </c>
      <c r="E196" s="1567" t="s">
        <v>4954</v>
      </c>
      <c r="F196" s="1565" t="s">
        <v>4904</v>
      </c>
      <c r="G196" s="1565">
        <v>87</v>
      </c>
      <c r="H196" s="1565" t="s">
        <v>1861</v>
      </c>
      <c r="I196" s="1565" t="s">
        <v>968</v>
      </c>
      <c r="J196" s="1590">
        <v>3.7166666670000001</v>
      </c>
      <c r="K196" s="1588">
        <v>1.8171296296296297E-3</v>
      </c>
      <c r="L196" s="1567" t="s">
        <v>4985</v>
      </c>
      <c r="M196" s="1569">
        <v>44335</v>
      </c>
    </row>
    <row r="197" spans="1:13" s="1353" customFormat="1" ht="43.5">
      <c r="A197" s="1565">
        <v>190</v>
      </c>
      <c r="B197" s="1566" t="s">
        <v>1022</v>
      </c>
      <c r="C197" s="1567" t="s">
        <v>2231</v>
      </c>
      <c r="D197" s="1567" t="s">
        <v>1923</v>
      </c>
      <c r="E197" s="1567" t="s">
        <v>4954</v>
      </c>
      <c r="F197" s="1565" t="s">
        <v>4904</v>
      </c>
      <c r="G197" s="1565">
        <v>87</v>
      </c>
      <c r="H197" s="1565" t="s">
        <v>1861</v>
      </c>
      <c r="I197" s="1565" t="s">
        <v>980</v>
      </c>
      <c r="J197" s="1590">
        <v>3.6666666663333336</v>
      </c>
      <c r="K197" s="1588">
        <v>1.6203703703703703E-3</v>
      </c>
      <c r="L197" s="1567" t="s">
        <v>4985</v>
      </c>
      <c r="M197" s="1569">
        <v>44335</v>
      </c>
    </row>
    <row r="198" spans="1:13" s="1353" customFormat="1" ht="43.5">
      <c r="A198" s="1565">
        <v>191</v>
      </c>
      <c r="B198" s="1566" t="s">
        <v>1022</v>
      </c>
      <c r="C198" s="1567" t="s">
        <v>2235</v>
      </c>
      <c r="D198" s="1567" t="s">
        <v>1923</v>
      </c>
      <c r="E198" s="1567" t="s">
        <v>4954</v>
      </c>
      <c r="F198" s="1565" t="s">
        <v>4904</v>
      </c>
      <c r="G198" s="1565">
        <v>87</v>
      </c>
      <c r="H198" s="1565" t="s">
        <v>1861</v>
      </c>
      <c r="I198" s="1565" t="s">
        <v>985</v>
      </c>
      <c r="J198" s="1590">
        <v>3.583333333000001</v>
      </c>
      <c r="K198" s="1588">
        <v>1.0416666666666667E-3</v>
      </c>
      <c r="L198" s="1567" t="s">
        <v>4985</v>
      </c>
      <c r="M198" s="1569">
        <v>44335</v>
      </c>
    </row>
    <row r="199" spans="1:13" s="1353" customFormat="1" ht="43.5">
      <c r="A199" s="1565">
        <v>192</v>
      </c>
      <c r="B199" s="1566" t="s">
        <v>1022</v>
      </c>
      <c r="C199" s="1567" t="s">
        <v>2238</v>
      </c>
      <c r="D199" s="1567" t="s">
        <v>1923</v>
      </c>
      <c r="E199" s="1567" t="s">
        <v>4954</v>
      </c>
      <c r="F199" s="1565" t="s">
        <v>4904</v>
      </c>
      <c r="G199" s="1565">
        <v>87</v>
      </c>
      <c r="H199" s="1565" t="s">
        <v>1861</v>
      </c>
      <c r="I199" s="1565" t="s">
        <v>958</v>
      </c>
      <c r="J199" s="1590">
        <v>3.5166666663333337</v>
      </c>
      <c r="K199" s="1588">
        <v>1.0416666666666667E-3</v>
      </c>
      <c r="L199" s="1567" t="s">
        <v>4985</v>
      </c>
      <c r="M199" s="1569">
        <v>44335</v>
      </c>
    </row>
    <row r="200" spans="1:13" s="1353" customFormat="1" ht="43.5">
      <c r="A200" s="1565">
        <v>193</v>
      </c>
      <c r="B200" s="1566" t="s">
        <v>1022</v>
      </c>
      <c r="C200" s="1567" t="s">
        <v>2242</v>
      </c>
      <c r="D200" s="1567" t="s">
        <v>1923</v>
      </c>
      <c r="E200" s="1567" t="s">
        <v>4954</v>
      </c>
      <c r="F200" s="1565" t="s">
        <v>4904</v>
      </c>
      <c r="G200" s="1565">
        <v>87</v>
      </c>
      <c r="H200" s="1565" t="s">
        <v>1861</v>
      </c>
      <c r="I200" s="1565" t="s">
        <v>970</v>
      </c>
      <c r="J200" s="1590">
        <v>3.5</v>
      </c>
      <c r="K200" s="1588">
        <v>1.0416666666666667E-3</v>
      </c>
      <c r="L200" s="1567" t="s">
        <v>4985</v>
      </c>
      <c r="M200" s="1569">
        <v>44335</v>
      </c>
    </row>
    <row r="201" spans="1:13" s="1353" customFormat="1" ht="43.5">
      <c r="A201" s="1565">
        <v>194</v>
      </c>
      <c r="B201" s="1566" t="s">
        <v>1022</v>
      </c>
      <c r="C201" s="1591" t="s">
        <v>2343</v>
      </c>
      <c r="D201" s="1591" t="s">
        <v>2345</v>
      </c>
      <c r="E201" s="1567" t="s">
        <v>4954</v>
      </c>
      <c r="F201" s="1565" t="s">
        <v>4904</v>
      </c>
      <c r="G201" s="1565">
        <v>23</v>
      </c>
      <c r="H201" s="1565" t="s">
        <v>1090</v>
      </c>
      <c r="I201" s="1565" t="s">
        <v>4986</v>
      </c>
      <c r="J201" s="1568" t="s">
        <v>966</v>
      </c>
      <c r="K201" s="1568" t="s">
        <v>978</v>
      </c>
      <c r="L201" s="1567" t="s">
        <v>4985</v>
      </c>
      <c r="M201" s="1569">
        <v>44335</v>
      </c>
    </row>
    <row r="202" spans="1:13" s="1353" customFormat="1" ht="43.5">
      <c r="A202" s="1565">
        <v>195</v>
      </c>
      <c r="B202" s="1566" t="s">
        <v>4952</v>
      </c>
      <c r="C202" s="1567" t="s">
        <v>4952</v>
      </c>
      <c r="D202" s="1567" t="s">
        <v>4952</v>
      </c>
      <c r="E202" s="1567" t="s">
        <v>4954</v>
      </c>
      <c r="F202" s="1565" t="s">
        <v>4904</v>
      </c>
      <c r="G202" s="1565">
        <v>22</v>
      </c>
      <c r="H202" s="1565" t="s">
        <v>132</v>
      </c>
      <c r="I202" s="1565" t="s">
        <v>1037</v>
      </c>
      <c r="J202" s="1582" t="s">
        <v>4973</v>
      </c>
      <c r="K202" s="1592" t="s">
        <v>4974</v>
      </c>
      <c r="L202" s="1567" t="s">
        <v>4987</v>
      </c>
      <c r="M202" s="1569">
        <v>44336</v>
      </c>
    </row>
    <row r="203" spans="1:13" s="1353" customFormat="1" ht="43.5">
      <c r="A203" s="1565">
        <v>196</v>
      </c>
      <c r="B203" s="1566" t="s">
        <v>1022</v>
      </c>
      <c r="C203" s="1591" t="s">
        <v>2343</v>
      </c>
      <c r="D203" s="1591" t="s">
        <v>2345</v>
      </c>
      <c r="E203" s="1567" t="s">
        <v>4954</v>
      </c>
      <c r="F203" s="1565" t="s">
        <v>4904</v>
      </c>
      <c r="G203" s="1565">
        <v>20</v>
      </c>
      <c r="H203" s="1565" t="s">
        <v>1873</v>
      </c>
      <c r="I203" s="1565" t="s">
        <v>4986</v>
      </c>
      <c r="J203" s="1565" t="s">
        <v>293</v>
      </c>
      <c r="K203" s="1565" t="s">
        <v>991</v>
      </c>
      <c r="L203" s="1567" t="s">
        <v>4985</v>
      </c>
      <c r="M203" s="1569">
        <v>44336</v>
      </c>
    </row>
    <row r="204" spans="1:13" s="1353" customFormat="1" ht="43.5">
      <c r="A204" s="1565">
        <v>197</v>
      </c>
      <c r="B204" s="1566" t="s">
        <v>999</v>
      </c>
      <c r="C204" s="1591" t="s">
        <v>3722</v>
      </c>
      <c r="D204" s="1567" t="s">
        <v>3724</v>
      </c>
      <c r="E204" s="1567" t="s">
        <v>4954</v>
      </c>
      <c r="F204" s="1565" t="s">
        <v>4904</v>
      </c>
      <c r="G204" s="1565">
        <v>41</v>
      </c>
      <c r="H204" s="1565" t="s">
        <v>4988</v>
      </c>
      <c r="I204" s="1565" t="s">
        <v>4986</v>
      </c>
      <c r="J204" s="1593">
        <v>0</v>
      </c>
      <c r="K204" s="1568" t="s">
        <v>4989</v>
      </c>
      <c r="L204" s="1567" t="s">
        <v>4990</v>
      </c>
      <c r="M204" s="1569">
        <v>44340</v>
      </c>
    </row>
    <row r="205" spans="1:13" s="1353" customFormat="1" ht="43.5">
      <c r="A205" s="1565">
        <v>198</v>
      </c>
      <c r="B205" s="1566" t="s">
        <v>982</v>
      </c>
      <c r="C205" s="1567" t="s">
        <v>4271</v>
      </c>
      <c r="D205" s="1567" t="s">
        <v>4273</v>
      </c>
      <c r="E205" s="1567" t="s">
        <v>4954</v>
      </c>
      <c r="F205" s="1565" t="s">
        <v>4904</v>
      </c>
      <c r="G205" s="1565">
        <v>41</v>
      </c>
      <c r="H205" s="1565" t="s">
        <v>4988</v>
      </c>
      <c r="I205" s="1565" t="s">
        <v>968</v>
      </c>
      <c r="J205" s="1565">
        <v>319.89999999999998</v>
      </c>
      <c r="K205" s="1568">
        <v>86.5</v>
      </c>
      <c r="L205" s="1567" t="s">
        <v>4991</v>
      </c>
      <c r="M205" s="1569">
        <v>44340</v>
      </c>
    </row>
    <row r="206" spans="1:13" s="1353" customFormat="1" ht="72.5">
      <c r="A206" s="1565">
        <v>199</v>
      </c>
      <c r="B206" s="1566" t="s">
        <v>1033</v>
      </c>
      <c r="C206" s="1567" t="s">
        <v>2998</v>
      </c>
      <c r="D206" s="1567" t="s">
        <v>3000</v>
      </c>
      <c r="E206" s="1567" t="s">
        <v>4954</v>
      </c>
      <c r="F206" s="1565" t="s">
        <v>4904</v>
      </c>
      <c r="G206" s="1565">
        <v>21</v>
      </c>
      <c r="H206" s="1565" t="s">
        <v>1874</v>
      </c>
      <c r="I206" s="1565" t="s">
        <v>4986</v>
      </c>
      <c r="J206" s="1582" t="s">
        <v>4992</v>
      </c>
      <c r="K206" s="1582" t="s">
        <v>3002</v>
      </c>
      <c r="L206" s="1567" t="s">
        <v>4993</v>
      </c>
      <c r="M206" s="1569">
        <v>44340</v>
      </c>
    </row>
    <row r="207" spans="1:13" s="1353" customFormat="1" ht="72.5">
      <c r="A207" s="1565">
        <v>200</v>
      </c>
      <c r="B207" s="1566" t="s">
        <v>1033</v>
      </c>
      <c r="C207" s="1567" t="s">
        <v>3020</v>
      </c>
      <c r="D207" s="1567" t="s">
        <v>3022</v>
      </c>
      <c r="E207" s="1567" t="s">
        <v>4954</v>
      </c>
      <c r="F207" s="1565" t="s">
        <v>4904</v>
      </c>
      <c r="G207" s="1565">
        <v>21</v>
      </c>
      <c r="H207" s="1565" t="s">
        <v>1874</v>
      </c>
      <c r="I207" s="1565" t="s">
        <v>4986</v>
      </c>
      <c r="J207" s="1582" t="s">
        <v>4992</v>
      </c>
      <c r="K207" s="1582" t="s">
        <v>3002</v>
      </c>
      <c r="L207" s="1567" t="s">
        <v>4993</v>
      </c>
      <c r="M207" s="1569">
        <v>44340</v>
      </c>
    </row>
    <row r="208" spans="1:13" s="1353" customFormat="1" ht="43.5">
      <c r="A208" s="1565">
        <v>201</v>
      </c>
      <c r="B208" s="1566" t="s">
        <v>1033</v>
      </c>
      <c r="C208" s="1567" t="s">
        <v>2998</v>
      </c>
      <c r="D208" s="1567" t="s">
        <v>3000</v>
      </c>
      <c r="E208" s="1567" t="s">
        <v>4954</v>
      </c>
      <c r="F208" s="1565" t="s">
        <v>4904</v>
      </c>
      <c r="G208" s="1565">
        <v>20</v>
      </c>
      <c r="H208" s="1565" t="s">
        <v>4994</v>
      </c>
      <c r="I208" s="1565" t="s">
        <v>4986</v>
      </c>
      <c r="J208" s="1565" t="s">
        <v>293</v>
      </c>
      <c r="K208" s="1565" t="s">
        <v>1039</v>
      </c>
      <c r="L208" s="1567" t="s">
        <v>4993</v>
      </c>
      <c r="M208" s="1569">
        <v>44340</v>
      </c>
    </row>
    <row r="209" spans="1:13" s="1353" customFormat="1" ht="43.5">
      <c r="A209" s="1565">
        <v>202</v>
      </c>
      <c r="B209" s="1566" t="s">
        <v>1033</v>
      </c>
      <c r="C209" s="1567" t="s">
        <v>3020</v>
      </c>
      <c r="D209" s="1567" t="s">
        <v>3022</v>
      </c>
      <c r="E209" s="1567" t="s">
        <v>4954</v>
      </c>
      <c r="F209" s="1565" t="s">
        <v>4904</v>
      </c>
      <c r="G209" s="1565">
        <v>20</v>
      </c>
      <c r="H209" s="1565" t="s">
        <v>4994</v>
      </c>
      <c r="I209" s="1565" t="s">
        <v>4986</v>
      </c>
      <c r="J209" s="1565" t="s">
        <v>293</v>
      </c>
      <c r="K209" s="1565" t="s">
        <v>1039</v>
      </c>
      <c r="L209" s="1567" t="s">
        <v>4993</v>
      </c>
      <c r="M209" s="1569">
        <v>44340</v>
      </c>
    </row>
    <row r="210" spans="1:13" s="1353" customFormat="1" ht="14.5">
      <c r="A210" s="1550">
        <v>203</v>
      </c>
      <c r="B210" s="1560" t="s">
        <v>1015</v>
      </c>
      <c r="C210" s="1561" t="s">
        <v>4678</v>
      </c>
      <c r="D210" s="1561" t="s">
        <v>2016</v>
      </c>
      <c r="E210" s="1561" t="s">
        <v>4903</v>
      </c>
      <c r="F210" s="1550" t="s">
        <v>4904</v>
      </c>
      <c r="G210" s="1550">
        <v>82</v>
      </c>
      <c r="H210" s="1550" t="s">
        <v>1860</v>
      </c>
      <c r="I210" s="1550" t="s">
        <v>968</v>
      </c>
      <c r="J210" s="1562">
        <v>11</v>
      </c>
      <c r="K210" s="1562" t="s">
        <v>4906</v>
      </c>
      <c r="L210" s="1575" t="s">
        <v>4995</v>
      </c>
      <c r="M210" s="1563">
        <v>44341</v>
      </c>
    </row>
    <row r="211" spans="1:13" s="1353" customFormat="1" ht="14.5">
      <c r="A211" s="1550">
        <v>204</v>
      </c>
      <c r="B211" s="1560" t="s">
        <v>1015</v>
      </c>
      <c r="C211" s="1561" t="s">
        <v>4678</v>
      </c>
      <c r="D211" s="1561" t="s">
        <v>2016</v>
      </c>
      <c r="E211" s="1561" t="s">
        <v>4903</v>
      </c>
      <c r="F211" s="1550" t="s">
        <v>4904</v>
      </c>
      <c r="G211" s="1550">
        <v>82</v>
      </c>
      <c r="H211" s="1550" t="s">
        <v>1860</v>
      </c>
      <c r="I211" s="1550" t="s">
        <v>980</v>
      </c>
      <c r="J211" s="1562">
        <v>11</v>
      </c>
      <c r="K211" s="1562" t="s">
        <v>4906</v>
      </c>
      <c r="L211" s="1575" t="s">
        <v>4995</v>
      </c>
      <c r="M211" s="1563">
        <v>44341</v>
      </c>
    </row>
    <row r="212" spans="1:13" s="1353" customFormat="1" ht="14.5">
      <c r="A212" s="1550">
        <v>205</v>
      </c>
      <c r="B212" s="1560" t="s">
        <v>1015</v>
      </c>
      <c r="C212" s="1561" t="s">
        <v>4678</v>
      </c>
      <c r="D212" s="1561" t="s">
        <v>2016</v>
      </c>
      <c r="E212" s="1561" t="s">
        <v>4903</v>
      </c>
      <c r="F212" s="1550" t="s">
        <v>4904</v>
      </c>
      <c r="G212" s="1550">
        <v>82</v>
      </c>
      <c r="H212" s="1550" t="s">
        <v>1860</v>
      </c>
      <c r="I212" s="1550" t="s">
        <v>985</v>
      </c>
      <c r="J212" s="1562">
        <v>11</v>
      </c>
      <c r="K212" s="1562" t="s">
        <v>4906</v>
      </c>
      <c r="L212" s="1575" t="s">
        <v>4995</v>
      </c>
      <c r="M212" s="1563">
        <v>44341</v>
      </c>
    </row>
    <row r="213" spans="1:13" s="1353" customFormat="1" ht="14.5">
      <c r="A213" s="1550">
        <v>206</v>
      </c>
      <c r="B213" s="1560" t="s">
        <v>1015</v>
      </c>
      <c r="C213" s="1561" t="s">
        <v>4678</v>
      </c>
      <c r="D213" s="1561" t="s">
        <v>2016</v>
      </c>
      <c r="E213" s="1561" t="s">
        <v>4903</v>
      </c>
      <c r="F213" s="1550" t="s">
        <v>4904</v>
      </c>
      <c r="G213" s="1550">
        <v>82</v>
      </c>
      <c r="H213" s="1550" t="s">
        <v>1860</v>
      </c>
      <c r="I213" s="1550" t="s">
        <v>958</v>
      </c>
      <c r="J213" s="1562">
        <v>11</v>
      </c>
      <c r="K213" s="1562" t="s">
        <v>4906</v>
      </c>
      <c r="L213" s="1575" t="s">
        <v>4995</v>
      </c>
      <c r="M213" s="1563">
        <v>44341</v>
      </c>
    </row>
    <row r="214" spans="1:13" s="1353" customFormat="1" ht="14.5">
      <c r="A214" s="1550">
        <v>207</v>
      </c>
      <c r="B214" s="1560" t="s">
        <v>1015</v>
      </c>
      <c r="C214" s="1561" t="s">
        <v>4678</v>
      </c>
      <c r="D214" s="1561" t="s">
        <v>2016</v>
      </c>
      <c r="E214" s="1561" t="s">
        <v>4903</v>
      </c>
      <c r="F214" s="1550" t="s">
        <v>4904</v>
      </c>
      <c r="G214" s="1550">
        <v>82</v>
      </c>
      <c r="H214" s="1550" t="s">
        <v>1860</v>
      </c>
      <c r="I214" s="1550" t="s">
        <v>970</v>
      </c>
      <c r="J214" s="1562">
        <v>11</v>
      </c>
      <c r="K214" s="1562" t="s">
        <v>4906</v>
      </c>
      <c r="L214" s="1575" t="s">
        <v>4995</v>
      </c>
      <c r="M214" s="1563">
        <v>44341</v>
      </c>
    </row>
    <row r="215" spans="1:13" s="1353" customFormat="1" ht="14.5">
      <c r="A215" s="1550">
        <v>208</v>
      </c>
      <c r="B215" s="1560" t="s">
        <v>990</v>
      </c>
      <c r="C215" s="1561" t="s">
        <v>2511</v>
      </c>
      <c r="D215" s="1561" t="s">
        <v>2513</v>
      </c>
      <c r="E215" s="1561" t="s">
        <v>4903</v>
      </c>
      <c r="F215" s="1550" t="s">
        <v>4904</v>
      </c>
      <c r="G215" s="1550">
        <v>41</v>
      </c>
      <c r="H215" s="1550" t="s">
        <v>4915</v>
      </c>
      <c r="I215" s="1550" t="s">
        <v>968</v>
      </c>
      <c r="J215" s="1573">
        <v>134</v>
      </c>
      <c r="K215" s="1573">
        <f>'App1'!AQ142</f>
        <v>0</v>
      </c>
      <c r="L215" s="1561" t="s">
        <v>4996</v>
      </c>
      <c r="M215" s="1563">
        <v>44341</v>
      </c>
    </row>
    <row r="216" spans="1:13" s="1353" customFormat="1" ht="14.5">
      <c r="A216" s="1550">
        <v>209</v>
      </c>
      <c r="B216" s="1560" t="s">
        <v>990</v>
      </c>
      <c r="C216" s="1561" t="s">
        <v>2511</v>
      </c>
      <c r="D216" s="1561" t="s">
        <v>2513</v>
      </c>
      <c r="E216" s="1561" t="s">
        <v>4903</v>
      </c>
      <c r="F216" s="1550" t="s">
        <v>4904</v>
      </c>
      <c r="G216" s="1550">
        <v>41</v>
      </c>
      <c r="H216" s="1550" t="s">
        <v>4915</v>
      </c>
      <c r="I216" s="1550" t="s">
        <v>980</v>
      </c>
      <c r="J216" s="1573">
        <v>132.6</v>
      </c>
      <c r="K216" s="1573">
        <f>'App1'!AR142</f>
        <v>0</v>
      </c>
      <c r="L216" s="1561" t="s">
        <v>4996</v>
      </c>
      <c r="M216" s="1563">
        <v>44341</v>
      </c>
    </row>
    <row r="217" spans="1:13" s="1353" customFormat="1" ht="14.5">
      <c r="A217" s="1550">
        <v>210</v>
      </c>
      <c r="B217" s="1560" t="s">
        <v>990</v>
      </c>
      <c r="C217" s="1561" t="s">
        <v>2511</v>
      </c>
      <c r="D217" s="1561" t="s">
        <v>2513</v>
      </c>
      <c r="E217" s="1561" t="s">
        <v>4903</v>
      </c>
      <c r="F217" s="1550" t="s">
        <v>4904</v>
      </c>
      <c r="G217" s="1550">
        <v>41</v>
      </c>
      <c r="H217" s="1550" t="s">
        <v>4915</v>
      </c>
      <c r="I217" s="1550" t="s">
        <v>985</v>
      </c>
      <c r="J217" s="1573">
        <v>128.4</v>
      </c>
      <c r="K217" s="1573">
        <f>'App1'!AS142</f>
        <v>0</v>
      </c>
      <c r="L217" s="1561" t="s">
        <v>4996</v>
      </c>
      <c r="M217" s="1563">
        <v>44341</v>
      </c>
    </row>
    <row r="218" spans="1:13" s="1353" customFormat="1" ht="14.5">
      <c r="A218" s="1550">
        <v>211</v>
      </c>
      <c r="B218" s="1560" t="s">
        <v>990</v>
      </c>
      <c r="C218" s="1561" t="s">
        <v>2511</v>
      </c>
      <c r="D218" s="1561" t="s">
        <v>2513</v>
      </c>
      <c r="E218" s="1561" t="s">
        <v>4903</v>
      </c>
      <c r="F218" s="1550" t="s">
        <v>4904</v>
      </c>
      <c r="G218" s="1550">
        <v>41</v>
      </c>
      <c r="H218" s="1550" t="s">
        <v>4915</v>
      </c>
      <c r="I218" s="1550" t="s">
        <v>958</v>
      </c>
      <c r="J218" s="1573">
        <v>124.4</v>
      </c>
      <c r="K218" s="1573">
        <f>'App1'!AT142</f>
        <v>0</v>
      </c>
      <c r="L218" s="1561" t="s">
        <v>4996</v>
      </c>
      <c r="M218" s="1563">
        <v>44341</v>
      </c>
    </row>
    <row r="219" spans="1:13" s="1353" customFormat="1" ht="14.5">
      <c r="A219" s="1550">
        <v>212</v>
      </c>
      <c r="B219" s="1560" t="s">
        <v>990</v>
      </c>
      <c r="C219" s="1561" t="s">
        <v>2511</v>
      </c>
      <c r="D219" s="1561" t="s">
        <v>2513</v>
      </c>
      <c r="E219" s="1561" t="s">
        <v>4903</v>
      </c>
      <c r="F219" s="1550" t="s">
        <v>4904</v>
      </c>
      <c r="G219" s="1550">
        <v>41</v>
      </c>
      <c r="H219" s="1550" t="s">
        <v>4915</v>
      </c>
      <c r="I219" s="1550" t="s">
        <v>970</v>
      </c>
      <c r="J219" s="1573">
        <v>120.3</v>
      </c>
      <c r="K219" s="1573">
        <f>'App1'!AU142</f>
        <v>0</v>
      </c>
      <c r="L219" s="1561" t="s">
        <v>4996</v>
      </c>
      <c r="M219" s="1563">
        <v>44341</v>
      </c>
    </row>
    <row r="220" spans="1:13" s="1353" customFormat="1" ht="14.5">
      <c r="A220" s="1550">
        <v>213</v>
      </c>
      <c r="B220" s="1560" t="s">
        <v>990</v>
      </c>
      <c r="C220" s="1561" t="s">
        <v>2516</v>
      </c>
      <c r="D220" s="1561" t="s">
        <v>2518</v>
      </c>
      <c r="E220" s="1561" t="s">
        <v>4903</v>
      </c>
      <c r="F220" s="1550" t="s">
        <v>4904</v>
      </c>
      <c r="G220" s="1550">
        <v>41</v>
      </c>
      <c r="H220" s="1550" t="s">
        <v>4915</v>
      </c>
      <c r="I220" s="1550" t="s">
        <v>968</v>
      </c>
      <c r="J220" s="1573">
        <v>58.2</v>
      </c>
      <c r="K220" s="1573">
        <f>'App1'!AQ143</f>
        <v>0</v>
      </c>
      <c r="L220" s="1561" t="s">
        <v>4996</v>
      </c>
      <c r="M220" s="1563">
        <v>44341</v>
      </c>
    </row>
    <row r="221" spans="1:13" s="1353" customFormat="1" ht="14.5">
      <c r="A221" s="1550">
        <v>214</v>
      </c>
      <c r="B221" s="1560" t="s">
        <v>990</v>
      </c>
      <c r="C221" s="1561" t="s">
        <v>2516</v>
      </c>
      <c r="D221" s="1561" t="s">
        <v>2518</v>
      </c>
      <c r="E221" s="1561" t="s">
        <v>4903</v>
      </c>
      <c r="F221" s="1550" t="s">
        <v>4904</v>
      </c>
      <c r="G221" s="1550">
        <v>41</v>
      </c>
      <c r="H221" s="1550" t="s">
        <v>4915</v>
      </c>
      <c r="I221" s="1550" t="s">
        <v>980</v>
      </c>
      <c r="J221" s="1573">
        <v>56.8</v>
      </c>
      <c r="K221" s="1573">
        <f>'App1'!AR143</f>
        <v>0</v>
      </c>
      <c r="L221" s="1561" t="s">
        <v>4996</v>
      </c>
      <c r="M221" s="1563">
        <v>44341</v>
      </c>
    </row>
    <row r="222" spans="1:13" s="1353" customFormat="1" ht="14.5">
      <c r="A222" s="1550">
        <v>215</v>
      </c>
      <c r="B222" s="1560" t="s">
        <v>990</v>
      </c>
      <c r="C222" s="1561" t="s">
        <v>2516</v>
      </c>
      <c r="D222" s="1561" t="s">
        <v>2518</v>
      </c>
      <c r="E222" s="1561" t="s">
        <v>4903</v>
      </c>
      <c r="F222" s="1550" t="s">
        <v>4904</v>
      </c>
      <c r="G222" s="1550">
        <v>41</v>
      </c>
      <c r="H222" s="1550" t="s">
        <v>4915</v>
      </c>
      <c r="I222" s="1550" t="s">
        <v>985</v>
      </c>
      <c r="J222" s="1573">
        <v>54.7</v>
      </c>
      <c r="K222" s="1573">
        <f>'App1'!AS143</f>
        <v>0</v>
      </c>
      <c r="L222" s="1561" t="s">
        <v>4996</v>
      </c>
      <c r="M222" s="1563">
        <v>44341</v>
      </c>
    </row>
    <row r="223" spans="1:13" s="1353" customFormat="1" ht="14.5">
      <c r="A223" s="1550">
        <v>216</v>
      </c>
      <c r="B223" s="1560" t="s">
        <v>990</v>
      </c>
      <c r="C223" s="1561" t="s">
        <v>2516</v>
      </c>
      <c r="D223" s="1561" t="s">
        <v>2518</v>
      </c>
      <c r="E223" s="1561" t="s">
        <v>4903</v>
      </c>
      <c r="F223" s="1550" t="s">
        <v>4904</v>
      </c>
      <c r="G223" s="1550">
        <v>41</v>
      </c>
      <c r="H223" s="1550" t="s">
        <v>4915</v>
      </c>
      <c r="I223" s="1550" t="s">
        <v>958</v>
      </c>
      <c r="J223" s="1573">
        <v>52.6</v>
      </c>
      <c r="K223" s="1573">
        <f>'App1'!AT143</f>
        <v>0</v>
      </c>
      <c r="L223" s="1561" t="s">
        <v>4996</v>
      </c>
      <c r="M223" s="1563">
        <v>44341</v>
      </c>
    </row>
    <row r="224" spans="1:13" s="1353" customFormat="1" ht="14.5">
      <c r="A224" s="1550">
        <v>217</v>
      </c>
      <c r="B224" s="1560" t="s">
        <v>990</v>
      </c>
      <c r="C224" s="1561" t="s">
        <v>2516</v>
      </c>
      <c r="D224" s="1561" t="s">
        <v>2518</v>
      </c>
      <c r="E224" s="1561" t="s">
        <v>4903</v>
      </c>
      <c r="F224" s="1550" t="s">
        <v>4904</v>
      </c>
      <c r="G224" s="1550">
        <v>41</v>
      </c>
      <c r="H224" s="1550" t="s">
        <v>4915</v>
      </c>
      <c r="I224" s="1550" t="s">
        <v>970</v>
      </c>
      <c r="J224" s="1573">
        <v>50.6</v>
      </c>
      <c r="K224" s="1573">
        <f>'App1'!AU143</f>
        <v>0</v>
      </c>
      <c r="L224" s="1561" t="s">
        <v>4996</v>
      </c>
      <c r="M224" s="1563">
        <v>44341</v>
      </c>
    </row>
    <row r="225" spans="1:13" s="1353" customFormat="1" ht="14.5">
      <c r="A225" s="1550">
        <v>218</v>
      </c>
      <c r="B225" s="1560" t="s">
        <v>990</v>
      </c>
      <c r="C225" s="1561" t="s">
        <v>2511</v>
      </c>
      <c r="D225" s="1561" t="s">
        <v>2513</v>
      </c>
      <c r="E225" s="1561" t="s">
        <v>4903</v>
      </c>
      <c r="F225" s="1550" t="s">
        <v>4904</v>
      </c>
      <c r="G225" s="1550">
        <v>72</v>
      </c>
      <c r="H225" s="1550" t="s">
        <v>1858</v>
      </c>
      <c r="I225" s="1550" t="s">
        <v>968</v>
      </c>
      <c r="J225" s="1573">
        <v>162</v>
      </c>
      <c r="K225" s="1573">
        <v>186</v>
      </c>
      <c r="L225" s="1561" t="s">
        <v>4997</v>
      </c>
      <c r="M225" s="1563">
        <v>44341</v>
      </c>
    </row>
    <row r="226" spans="1:13" s="1353" customFormat="1" ht="14.5">
      <c r="A226" s="1550">
        <v>219</v>
      </c>
      <c r="B226" s="1560" t="s">
        <v>990</v>
      </c>
      <c r="C226" s="1561" t="s">
        <v>2511</v>
      </c>
      <c r="D226" s="1561" t="s">
        <v>2513</v>
      </c>
      <c r="E226" s="1561" t="s">
        <v>4903</v>
      </c>
      <c r="F226" s="1550" t="s">
        <v>4904</v>
      </c>
      <c r="G226" s="1550">
        <v>72</v>
      </c>
      <c r="H226" s="1550" t="s">
        <v>1858</v>
      </c>
      <c r="I226" s="1550" t="s">
        <v>980</v>
      </c>
      <c r="J226" s="1573">
        <v>162</v>
      </c>
      <c r="K226" s="1573">
        <v>186</v>
      </c>
      <c r="L226" s="1561" t="s">
        <v>4997</v>
      </c>
      <c r="M226" s="1563">
        <v>44341</v>
      </c>
    </row>
    <row r="227" spans="1:13" s="1353" customFormat="1" ht="14.5">
      <c r="A227" s="1550">
        <v>220</v>
      </c>
      <c r="B227" s="1560" t="s">
        <v>990</v>
      </c>
      <c r="C227" s="1561" t="s">
        <v>2511</v>
      </c>
      <c r="D227" s="1561" t="s">
        <v>2513</v>
      </c>
      <c r="E227" s="1561" t="s">
        <v>4903</v>
      </c>
      <c r="F227" s="1550" t="s">
        <v>4904</v>
      </c>
      <c r="G227" s="1550">
        <v>72</v>
      </c>
      <c r="H227" s="1550" t="s">
        <v>1858</v>
      </c>
      <c r="I227" s="1550" t="s">
        <v>985</v>
      </c>
      <c r="J227" s="1573">
        <v>162</v>
      </c>
      <c r="K227" s="1573">
        <v>186</v>
      </c>
      <c r="L227" s="1561" t="s">
        <v>4997</v>
      </c>
      <c r="M227" s="1563">
        <v>44341</v>
      </c>
    </row>
    <row r="228" spans="1:13" s="1353" customFormat="1" ht="14.5">
      <c r="A228" s="1550">
        <v>221</v>
      </c>
      <c r="B228" s="1560" t="s">
        <v>990</v>
      </c>
      <c r="C228" s="1561" t="s">
        <v>2511</v>
      </c>
      <c r="D228" s="1561" t="s">
        <v>2513</v>
      </c>
      <c r="E228" s="1561" t="s">
        <v>4903</v>
      </c>
      <c r="F228" s="1550" t="s">
        <v>4904</v>
      </c>
      <c r="G228" s="1550">
        <v>72</v>
      </c>
      <c r="H228" s="1550" t="s">
        <v>1858</v>
      </c>
      <c r="I228" s="1550" t="s">
        <v>958</v>
      </c>
      <c r="J228" s="1573">
        <v>162</v>
      </c>
      <c r="K228" s="1573">
        <v>186</v>
      </c>
      <c r="L228" s="1561" t="s">
        <v>4997</v>
      </c>
      <c r="M228" s="1563">
        <v>44341</v>
      </c>
    </row>
    <row r="229" spans="1:13" s="1353" customFormat="1" ht="14.5">
      <c r="A229" s="1550">
        <v>222</v>
      </c>
      <c r="B229" s="1560" t="s">
        <v>990</v>
      </c>
      <c r="C229" s="1561" t="s">
        <v>2511</v>
      </c>
      <c r="D229" s="1561" t="s">
        <v>2513</v>
      </c>
      <c r="E229" s="1561" t="s">
        <v>4903</v>
      </c>
      <c r="F229" s="1550" t="s">
        <v>4904</v>
      </c>
      <c r="G229" s="1550">
        <v>72</v>
      </c>
      <c r="H229" s="1550" t="s">
        <v>1858</v>
      </c>
      <c r="I229" s="1550" t="s">
        <v>970</v>
      </c>
      <c r="J229" s="1573">
        <v>162</v>
      </c>
      <c r="K229" s="1573">
        <v>186</v>
      </c>
      <c r="L229" s="1561" t="s">
        <v>4997</v>
      </c>
      <c r="M229" s="1563">
        <v>44341</v>
      </c>
    </row>
    <row r="230" spans="1:13" s="1353" customFormat="1" ht="14.5">
      <c r="A230" s="1550">
        <v>223</v>
      </c>
      <c r="B230" s="1560" t="s">
        <v>990</v>
      </c>
      <c r="C230" s="1561" t="s">
        <v>2516</v>
      </c>
      <c r="D230" s="1561" t="s">
        <v>2518</v>
      </c>
      <c r="E230" s="1561" t="s">
        <v>4903</v>
      </c>
      <c r="F230" s="1550" t="s">
        <v>4904</v>
      </c>
      <c r="G230" s="1550">
        <v>72</v>
      </c>
      <c r="H230" s="1550" t="s">
        <v>1858</v>
      </c>
      <c r="I230" s="1550" t="s">
        <v>968</v>
      </c>
      <c r="J230" s="1573">
        <v>97.1</v>
      </c>
      <c r="K230" s="1573">
        <v>115.6</v>
      </c>
      <c r="L230" s="1561" t="s">
        <v>4997</v>
      </c>
      <c r="M230" s="1563">
        <v>44341</v>
      </c>
    </row>
    <row r="231" spans="1:13" s="1353" customFormat="1" ht="14.5">
      <c r="A231" s="1550">
        <v>224</v>
      </c>
      <c r="B231" s="1560" t="s">
        <v>990</v>
      </c>
      <c r="C231" s="1561" t="s">
        <v>2516</v>
      </c>
      <c r="D231" s="1561" t="s">
        <v>2518</v>
      </c>
      <c r="E231" s="1561" t="s">
        <v>4903</v>
      </c>
      <c r="F231" s="1550" t="s">
        <v>4904</v>
      </c>
      <c r="G231" s="1550">
        <v>72</v>
      </c>
      <c r="H231" s="1550" t="s">
        <v>1858</v>
      </c>
      <c r="I231" s="1550" t="s">
        <v>980</v>
      </c>
      <c r="J231" s="1573">
        <v>97.1</v>
      </c>
      <c r="K231" s="1573">
        <v>115.6</v>
      </c>
      <c r="L231" s="1561" t="s">
        <v>4997</v>
      </c>
      <c r="M231" s="1563">
        <v>44341</v>
      </c>
    </row>
    <row r="232" spans="1:13" s="1353" customFormat="1" ht="14.5">
      <c r="A232" s="1550">
        <v>225</v>
      </c>
      <c r="B232" s="1560" t="s">
        <v>990</v>
      </c>
      <c r="C232" s="1561" t="s">
        <v>2516</v>
      </c>
      <c r="D232" s="1561" t="s">
        <v>2518</v>
      </c>
      <c r="E232" s="1561" t="s">
        <v>4903</v>
      </c>
      <c r="F232" s="1550" t="s">
        <v>4904</v>
      </c>
      <c r="G232" s="1550">
        <v>72</v>
      </c>
      <c r="H232" s="1550" t="s">
        <v>1858</v>
      </c>
      <c r="I232" s="1550" t="s">
        <v>985</v>
      </c>
      <c r="J232" s="1573">
        <v>97.1</v>
      </c>
      <c r="K232" s="1573">
        <v>115.6</v>
      </c>
      <c r="L232" s="1561" t="s">
        <v>4997</v>
      </c>
      <c r="M232" s="1563">
        <v>44341</v>
      </c>
    </row>
    <row r="233" spans="1:13" s="1353" customFormat="1" ht="14.5">
      <c r="A233" s="1550">
        <v>226</v>
      </c>
      <c r="B233" s="1560" t="s">
        <v>990</v>
      </c>
      <c r="C233" s="1561" t="s">
        <v>2516</v>
      </c>
      <c r="D233" s="1561" t="s">
        <v>2518</v>
      </c>
      <c r="E233" s="1561" t="s">
        <v>4903</v>
      </c>
      <c r="F233" s="1550" t="s">
        <v>4904</v>
      </c>
      <c r="G233" s="1550">
        <v>72</v>
      </c>
      <c r="H233" s="1550" t="s">
        <v>1858</v>
      </c>
      <c r="I233" s="1550" t="s">
        <v>958</v>
      </c>
      <c r="J233" s="1573">
        <v>97.1</v>
      </c>
      <c r="K233" s="1573">
        <v>115.6</v>
      </c>
      <c r="L233" s="1561" t="s">
        <v>4997</v>
      </c>
      <c r="M233" s="1563">
        <v>44341</v>
      </c>
    </row>
    <row r="234" spans="1:13" s="1353" customFormat="1" ht="14.5">
      <c r="A234" s="1550">
        <v>227</v>
      </c>
      <c r="B234" s="1560" t="s">
        <v>990</v>
      </c>
      <c r="C234" s="1561" t="s">
        <v>2516</v>
      </c>
      <c r="D234" s="1561" t="s">
        <v>2518</v>
      </c>
      <c r="E234" s="1561" t="s">
        <v>4903</v>
      </c>
      <c r="F234" s="1550" t="s">
        <v>4904</v>
      </c>
      <c r="G234" s="1550">
        <v>72</v>
      </c>
      <c r="H234" s="1550" t="s">
        <v>1858</v>
      </c>
      <c r="I234" s="1550" t="s">
        <v>970</v>
      </c>
      <c r="J234" s="1573">
        <v>97.1</v>
      </c>
      <c r="K234" s="1573">
        <v>115.6</v>
      </c>
      <c r="L234" s="1561" t="s">
        <v>4997</v>
      </c>
      <c r="M234" s="1563">
        <v>44341</v>
      </c>
    </row>
    <row r="235" spans="1:13" s="1353" customFormat="1" ht="43.5">
      <c r="A235" s="1565">
        <v>228</v>
      </c>
      <c r="B235" s="1566" t="s">
        <v>990</v>
      </c>
      <c r="C235" s="1567" t="s">
        <v>2511</v>
      </c>
      <c r="D235" s="1567" t="s">
        <v>2513</v>
      </c>
      <c r="E235" s="1567" t="s">
        <v>4954</v>
      </c>
      <c r="F235" s="1565" t="s">
        <v>4904</v>
      </c>
      <c r="G235" s="1565">
        <v>87</v>
      </c>
      <c r="H235" s="1567" t="s">
        <v>1861</v>
      </c>
      <c r="I235" s="1565" t="s">
        <v>968</v>
      </c>
      <c r="J235" s="1594">
        <v>84.3</v>
      </c>
      <c r="K235" s="1594">
        <v>84</v>
      </c>
      <c r="L235" s="1567" t="s">
        <v>4998</v>
      </c>
      <c r="M235" s="1569">
        <v>44341</v>
      </c>
    </row>
    <row r="236" spans="1:13" s="1353" customFormat="1" ht="43.5">
      <c r="A236" s="1565">
        <v>229</v>
      </c>
      <c r="B236" s="1566" t="s">
        <v>990</v>
      </c>
      <c r="C236" s="1567" t="s">
        <v>2511</v>
      </c>
      <c r="D236" s="1567" t="s">
        <v>2513</v>
      </c>
      <c r="E236" s="1567" t="s">
        <v>4954</v>
      </c>
      <c r="F236" s="1565" t="s">
        <v>4904</v>
      </c>
      <c r="G236" s="1565">
        <v>87</v>
      </c>
      <c r="H236" s="1567" t="s">
        <v>1861</v>
      </c>
      <c r="I236" s="1565" t="s">
        <v>980</v>
      </c>
      <c r="J236" s="1594">
        <v>83.4</v>
      </c>
      <c r="K236" s="1594">
        <v>83.2</v>
      </c>
      <c r="L236" s="1567" t="s">
        <v>4998</v>
      </c>
      <c r="M236" s="1569">
        <v>44341</v>
      </c>
    </row>
    <row r="237" spans="1:13" s="1353" customFormat="1" ht="43.5">
      <c r="A237" s="1565">
        <v>230</v>
      </c>
      <c r="B237" s="1566" t="s">
        <v>990</v>
      </c>
      <c r="C237" s="1567" t="s">
        <v>2511</v>
      </c>
      <c r="D237" s="1567" t="s">
        <v>2513</v>
      </c>
      <c r="E237" s="1567" t="s">
        <v>4954</v>
      </c>
      <c r="F237" s="1565" t="s">
        <v>4904</v>
      </c>
      <c r="G237" s="1565">
        <v>87</v>
      </c>
      <c r="H237" s="1567" t="s">
        <v>1861</v>
      </c>
      <c r="I237" s="1565" t="s">
        <v>985</v>
      </c>
      <c r="J237" s="1594">
        <v>82.2</v>
      </c>
      <c r="K237" s="1594">
        <v>82</v>
      </c>
      <c r="L237" s="1567" t="s">
        <v>4998</v>
      </c>
      <c r="M237" s="1569">
        <v>44341</v>
      </c>
    </row>
    <row r="238" spans="1:13" s="1353" customFormat="1" ht="43.5">
      <c r="A238" s="1565">
        <v>231</v>
      </c>
      <c r="B238" s="1566" t="s">
        <v>990</v>
      </c>
      <c r="C238" s="1567" t="s">
        <v>2511</v>
      </c>
      <c r="D238" s="1567" t="s">
        <v>2513</v>
      </c>
      <c r="E238" s="1567" t="s">
        <v>4954</v>
      </c>
      <c r="F238" s="1565" t="s">
        <v>4904</v>
      </c>
      <c r="G238" s="1565">
        <v>87</v>
      </c>
      <c r="H238" s="1567" t="s">
        <v>1861</v>
      </c>
      <c r="I238" s="1565" t="s">
        <v>958</v>
      </c>
      <c r="J238" s="1594">
        <v>80.7</v>
      </c>
      <c r="K238" s="1594">
        <v>80.5</v>
      </c>
      <c r="L238" s="1567" t="s">
        <v>4998</v>
      </c>
      <c r="M238" s="1569">
        <v>44341</v>
      </c>
    </row>
    <row r="239" spans="1:13" s="1353" customFormat="1" ht="43.5">
      <c r="A239" s="1565">
        <v>232</v>
      </c>
      <c r="B239" s="1566" t="s">
        <v>990</v>
      </c>
      <c r="C239" s="1567" t="s">
        <v>2511</v>
      </c>
      <c r="D239" s="1567" t="s">
        <v>2513</v>
      </c>
      <c r="E239" s="1567" t="s">
        <v>4954</v>
      </c>
      <c r="F239" s="1565" t="s">
        <v>4904</v>
      </c>
      <c r="G239" s="1565">
        <v>87</v>
      </c>
      <c r="H239" s="1567" t="s">
        <v>1861</v>
      </c>
      <c r="I239" s="1565" t="s">
        <v>970</v>
      </c>
      <c r="J239" s="1594">
        <v>78.099999999999994</v>
      </c>
      <c r="K239" s="1594">
        <v>77.900000000000006</v>
      </c>
      <c r="L239" s="1567" t="s">
        <v>4998</v>
      </c>
      <c r="M239" s="1569">
        <v>44341</v>
      </c>
    </row>
    <row r="240" spans="1:13" s="1353" customFormat="1" ht="43.5">
      <c r="A240" s="1565">
        <v>233</v>
      </c>
      <c r="B240" s="1566" t="s">
        <v>990</v>
      </c>
      <c r="C240" s="1567" t="s">
        <v>2516</v>
      </c>
      <c r="D240" s="1567" t="s">
        <v>2518</v>
      </c>
      <c r="E240" s="1567" t="s">
        <v>4954</v>
      </c>
      <c r="F240" s="1565" t="s">
        <v>4904</v>
      </c>
      <c r="G240" s="1565">
        <v>87</v>
      </c>
      <c r="H240" s="1567" t="s">
        <v>1861</v>
      </c>
      <c r="I240" s="1565" t="s">
        <v>968</v>
      </c>
      <c r="J240" s="1590">
        <v>50.7</v>
      </c>
      <c r="K240" s="1590">
        <v>53.3</v>
      </c>
      <c r="L240" s="1567" t="s">
        <v>4998</v>
      </c>
      <c r="M240" s="1569">
        <v>44341</v>
      </c>
    </row>
    <row r="241" spans="1:13" s="1353" customFormat="1" ht="43.5">
      <c r="A241" s="1565">
        <v>234</v>
      </c>
      <c r="B241" s="1566" t="s">
        <v>990</v>
      </c>
      <c r="C241" s="1567" t="s">
        <v>2516</v>
      </c>
      <c r="D241" s="1567" t="s">
        <v>2518</v>
      </c>
      <c r="E241" s="1567" t="s">
        <v>4954</v>
      </c>
      <c r="F241" s="1565" t="s">
        <v>4904</v>
      </c>
      <c r="G241" s="1565">
        <v>87</v>
      </c>
      <c r="H241" s="1567" t="s">
        <v>1861</v>
      </c>
      <c r="I241" s="1565" t="s">
        <v>980</v>
      </c>
      <c r="J241" s="1590">
        <v>50</v>
      </c>
      <c r="K241" s="1590">
        <v>52.6</v>
      </c>
      <c r="L241" s="1567" t="s">
        <v>4998</v>
      </c>
      <c r="M241" s="1569">
        <v>44341</v>
      </c>
    </row>
    <row r="242" spans="1:13" s="1353" customFormat="1" ht="43.5">
      <c r="A242" s="1565">
        <v>235</v>
      </c>
      <c r="B242" s="1566" t="s">
        <v>990</v>
      </c>
      <c r="C242" s="1567" t="s">
        <v>2516</v>
      </c>
      <c r="D242" s="1567" t="s">
        <v>2518</v>
      </c>
      <c r="E242" s="1567" t="s">
        <v>4954</v>
      </c>
      <c r="F242" s="1565" t="s">
        <v>4904</v>
      </c>
      <c r="G242" s="1565">
        <v>87</v>
      </c>
      <c r="H242" s="1567" t="s">
        <v>1861</v>
      </c>
      <c r="I242" s="1565" t="s">
        <v>985</v>
      </c>
      <c r="J242" s="1590">
        <v>49.1</v>
      </c>
      <c r="K242" s="1590">
        <v>51.6</v>
      </c>
      <c r="L242" s="1567" t="s">
        <v>4998</v>
      </c>
      <c r="M242" s="1569">
        <v>44341</v>
      </c>
    </row>
    <row r="243" spans="1:13" s="1353" customFormat="1" ht="43.5">
      <c r="A243" s="1565">
        <v>236</v>
      </c>
      <c r="B243" s="1566" t="s">
        <v>990</v>
      </c>
      <c r="C243" s="1567" t="s">
        <v>2516</v>
      </c>
      <c r="D243" s="1567" t="s">
        <v>2518</v>
      </c>
      <c r="E243" s="1567" t="s">
        <v>4954</v>
      </c>
      <c r="F243" s="1565" t="s">
        <v>4904</v>
      </c>
      <c r="G243" s="1565">
        <v>87</v>
      </c>
      <c r="H243" s="1567" t="s">
        <v>1861</v>
      </c>
      <c r="I243" s="1565" t="s">
        <v>958</v>
      </c>
      <c r="J243" s="1590">
        <v>47.9</v>
      </c>
      <c r="K243" s="1590">
        <v>50.4</v>
      </c>
      <c r="L243" s="1567" t="s">
        <v>4998</v>
      </c>
      <c r="M243" s="1569">
        <v>44341</v>
      </c>
    </row>
    <row r="244" spans="1:13" s="1353" customFormat="1" ht="43.5">
      <c r="A244" s="1565">
        <v>237</v>
      </c>
      <c r="B244" s="1566" t="s">
        <v>990</v>
      </c>
      <c r="C244" s="1567" t="s">
        <v>2516</v>
      </c>
      <c r="D244" s="1567" t="s">
        <v>2518</v>
      </c>
      <c r="E244" s="1567" t="s">
        <v>4954</v>
      </c>
      <c r="F244" s="1565" t="s">
        <v>4904</v>
      </c>
      <c r="G244" s="1565">
        <v>87</v>
      </c>
      <c r="H244" s="1567" t="s">
        <v>1861</v>
      </c>
      <c r="I244" s="1565" t="s">
        <v>970</v>
      </c>
      <c r="J244" s="1590">
        <v>46.6</v>
      </c>
      <c r="K244" s="1590">
        <v>49</v>
      </c>
      <c r="L244" s="1567" t="s">
        <v>4998</v>
      </c>
      <c r="M244" s="1569">
        <v>44341</v>
      </c>
    </row>
    <row r="245" spans="1:13" s="1353" customFormat="1" ht="43.5">
      <c r="A245" s="1565">
        <v>238</v>
      </c>
      <c r="B245" s="1566" t="s">
        <v>990</v>
      </c>
      <c r="C245" s="1567" t="s">
        <v>2527</v>
      </c>
      <c r="D245" s="1567" t="s">
        <v>689</v>
      </c>
      <c r="E245" s="1567" t="s">
        <v>4954</v>
      </c>
      <c r="F245" s="1565" t="s">
        <v>4904</v>
      </c>
      <c r="G245" s="1565">
        <v>100</v>
      </c>
      <c r="H245" s="1565" t="s">
        <v>1910</v>
      </c>
      <c r="I245" s="1565" t="s">
        <v>4999</v>
      </c>
      <c r="J245" s="1568">
        <v>-0.874</v>
      </c>
      <c r="K245" s="1568">
        <v>-0.877</v>
      </c>
      <c r="L245" s="1567" t="s">
        <v>5000</v>
      </c>
      <c r="M245" s="1569">
        <v>44341</v>
      </c>
    </row>
    <row r="246" spans="1:13" s="1353" customFormat="1" ht="43.5">
      <c r="A246" s="1565">
        <v>239</v>
      </c>
      <c r="B246" s="1566" t="s">
        <v>990</v>
      </c>
      <c r="C246" s="1567" t="s">
        <v>2576</v>
      </c>
      <c r="D246" s="1567" t="s">
        <v>2578</v>
      </c>
      <c r="E246" s="1567" t="s">
        <v>4954</v>
      </c>
      <c r="F246" s="1565" t="s">
        <v>4904</v>
      </c>
      <c r="G246" s="1565">
        <v>6</v>
      </c>
      <c r="H246" s="1565" t="s">
        <v>5001</v>
      </c>
      <c r="I246" s="1565" t="s">
        <v>4999</v>
      </c>
      <c r="J246" s="1568" t="s">
        <v>4999</v>
      </c>
      <c r="K246" s="1568" t="s">
        <v>4999</v>
      </c>
      <c r="L246" s="1567" t="s">
        <v>5002</v>
      </c>
      <c r="M246" s="1569">
        <v>44341</v>
      </c>
    </row>
    <row r="247" spans="1:13" s="1353" customFormat="1" ht="43.5">
      <c r="A247" s="1565">
        <v>240</v>
      </c>
      <c r="B247" s="1566" t="s">
        <v>990</v>
      </c>
      <c r="C247" s="1567" t="s">
        <v>1134</v>
      </c>
      <c r="D247" s="1567" t="s">
        <v>1124</v>
      </c>
      <c r="E247" s="1567" t="s">
        <v>4954</v>
      </c>
      <c r="F247" s="1565" t="s">
        <v>4904</v>
      </c>
      <c r="G247" s="1565">
        <v>41</v>
      </c>
      <c r="H247" s="1565" t="s">
        <v>4915</v>
      </c>
      <c r="I247" s="1565" t="s">
        <v>968</v>
      </c>
      <c r="J247" s="1594">
        <v>142.5</v>
      </c>
      <c r="K247" s="1594">
        <v>149.4</v>
      </c>
      <c r="L247" s="1567" t="s">
        <v>5003</v>
      </c>
      <c r="M247" s="1569">
        <v>44341</v>
      </c>
    </row>
    <row r="248" spans="1:13" s="1353" customFormat="1" ht="43.5">
      <c r="A248" s="1565">
        <v>241</v>
      </c>
      <c r="B248" s="1566" t="s">
        <v>990</v>
      </c>
      <c r="C248" s="1567" t="s">
        <v>1134</v>
      </c>
      <c r="D248" s="1567" t="s">
        <v>1124</v>
      </c>
      <c r="E248" s="1567" t="s">
        <v>4954</v>
      </c>
      <c r="F248" s="1565" t="s">
        <v>4904</v>
      </c>
      <c r="G248" s="1565">
        <v>41</v>
      </c>
      <c r="H248" s="1565" t="s">
        <v>4915</v>
      </c>
      <c r="I248" s="1565" t="s">
        <v>980</v>
      </c>
      <c r="J248" s="1594">
        <v>141</v>
      </c>
      <c r="K248" s="1594">
        <v>147.9</v>
      </c>
      <c r="L248" s="1567" t="s">
        <v>5003</v>
      </c>
      <c r="M248" s="1569">
        <v>44341</v>
      </c>
    </row>
    <row r="249" spans="1:13" s="1353" customFormat="1" ht="43.5">
      <c r="A249" s="1565">
        <v>242</v>
      </c>
      <c r="B249" s="1566" t="s">
        <v>990</v>
      </c>
      <c r="C249" s="1567" t="s">
        <v>1134</v>
      </c>
      <c r="D249" s="1567" t="s">
        <v>1124</v>
      </c>
      <c r="E249" s="1567" t="s">
        <v>4954</v>
      </c>
      <c r="F249" s="1565" t="s">
        <v>4904</v>
      </c>
      <c r="G249" s="1565">
        <v>41</v>
      </c>
      <c r="H249" s="1565" t="s">
        <v>4915</v>
      </c>
      <c r="I249" s="1565" t="s">
        <v>985</v>
      </c>
      <c r="J249" s="1594">
        <v>139.4</v>
      </c>
      <c r="K249" s="1594">
        <v>146.19999999999999</v>
      </c>
      <c r="L249" s="1567" t="s">
        <v>5003</v>
      </c>
      <c r="M249" s="1569">
        <v>44341</v>
      </c>
    </row>
    <row r="250" spans="1:13" s="1353" customFormat="1" ht="43.5">
      <c r="A250" s="1565">
        <v>243</v>
      </c>
      <c r="B250" s="1566" t="s">
        <v>990</v>
      </c>
      <c r="C250" s="1567" t="s">
        <v>1134</v>
      </c>
      <c r="D250" s="1567" t="s">
        <v>1124</v>
      </c>
      <c r="E250" s="1567" t="s">
        <v>4954</v>
      </c>
      <c r="F250" s="1565" t="s">
        <v>4904</v>
      </c>
      <c r="G250" s="1565">
        <v>41</v>
      </c>
      <c r="H250" s="1565" t="s">
        <v>4915</v>
      </c>
      <c r="I250" s="1565" t="s">
        <v>958</v>
      </c>
      <c r="J250" s="1594">
        <v>137.69999999999999</v>
      </c>
      <c r="K250" s="1594">
        <v>144.4</v>
      </c>
      <c r="L250" s="1567" t="s">
        <v>5003</v>
      </c>
      <c r="M250" s="1569">
        <v>44341</v>
      </c>
    </row>
    <row r="251" spans="1:13" s="1353" customFormat="1" ht="43.5">
      <c r="A251" s="1565">
        <v>244</v>
      </c>
      <c r="B251" s="1566" t="s">
        <v>990</v>
      </c>
      <c r="C251" s="1567" t="s">
        <v>1134</v>
      </c>
      <c r="D251" s="1567" t="s">
        <v>1124</v>
      </c>
      <c r="E251" s="1567" t="s">
        <v>4954</v>
      </c>
      <c r="F251" s="1565" t="s">
        <v>4904</v>
      </c>
      <c r="G251" s="1565">
        <v>41</v>
      </c>
      <c r="H251" s="1565" t="s">
        <v>4915</v>
      </c>
      <c r="I251" s="1565" t="s">
        <v>970</v>
      </c>
      <c r="J251" s="1594">
        <v>136</v>
      </c>
      <c r="K251" s="1594">
        <v>142.6</v>
      </c>
      <c r="L251" s="1567" t="s">
        <v>5003</v>
      </c>
      <c r="M251" s="1569">
        <v>44341</v>
      </c>
    </row>
    <row r="252" spans="1:13" s="1353" customFormat="1" ht="29">
      <c r="A252" s="1550">
        <v>245</v>
      </c>
      <c r="B252" s="1560" t="s">
        <v>990</v>
      </c>
      <c r="C252" s="1561" t="s">
        <v>2702</v>
      </c>
      <c r="D252" s="1561" t="s">
        <v>5004</v>
      </c>
      <c r="E252" s="1561" t="s">
        <v>4903</v>
      </c>
      <c r="F252" s="1550" t="s">
        <v>4904</v>
      </c>
      <c r="G252" s="1550">
        <v>97</v>
      </c>
      <c r="H252" s="1564" t="s">
        <v>1908</v>
      </c>
      <c r="I252" s="1550" t="s">
        <v>4999</v>
      </c>
      <c r="J252" s="1562" t="s">
        <v>4906</v>
      </c>
      <c r="K252" s="1571">
        <v>-4.1700000000000001E-2</v>
      </c>
      <c r="L252" s="1561" t="s">
        <v>5005</v>
      </c>
      <c r="M252" s="1563">
        <v>44341</v>
      </c>
    </row>
    <row r="253" spans="1:13" s="1353" customFormat="1" ht="14.5">
      <c r="A253" s="1565">
        <v>246</v>
      </c>
      <c r="B253" s="1566" t="s">
        <v>972</v>
      </c>
      <c r="C253" s="1567" t="s">
        <v>2075</v>
      </c>
      <c r="D253" s="1567" t="s">
        <v>154</v>
      </c>
      <c r="E253" s="1567" t="s">
        <v>788</v>
      </c>
      <c r="F253" s="1565" t="s">
        <v>4904</v>
      </c>
      <c r="G253" s="1565">
        <v>41</v>
      </c>
      <c r="H253" s="1565" t="s">
        <v>5006</v>
      </c>
      <c r="I253" s="1565" t="s">
        <v>4962</v>
      </c>
      <c r="J253" s="1568" t="s">
        <v>5007</v>
      </c>
      <c r="K253" s="1568" t="s">
        <v>5008</v>
      </c>
      <c r="L253" s="1567" t="s">
        <v>5009</v>
      </c>
      <c r="M253" s="1569">
        <v>44342</v>
      </c>
    </row>
    <row r="254" spans="1:13" s="1353" customFormat="1" ht="14.5">
      <c r="A254" s="1565">
        <v>247</v>
      </c>
      <c r="B254" s="1566" t="s">
        <v>972</v>
      </c>
      <c r="C254" s="1567" t="s">
        <v>2075</v>
      </c>
      <c r="D254" s="1567" t="s">
        <v>154</v>
      </c>
      <c r="E254" s="1567" t="s">
        <v>788</v>
      </c>
      <c r="F254" s="1565" t="s">
        <v>4904</v>
      </c>
      <c r="G254" s="1565">
        <v>77</v>
      </c>
      <c r="H254" s="1565" t="s">
        <v>953</v>
      </c>
      <c r="I254" s="1565" t="s">
        <v>4962</v>
      </c>
      <c r="J254" s="1568" t="s">
        <v>5007</v>
      </c>
      <c r="K254" s="1568" t="s">
        <v>5008</v>
      </c>
      <c r="L254" s="1567" t="s">
        <v>5009</v>
      </c>
      <c r="M254" s="1569">
        <v>44342</v>
      </c>
    </row>
    <row r="255" spans="1:13" s="1353" customFormat="1" ht="14.5">
      <c r="A255" s="1565">
        <v>248</v>
      </c>
      <c r="B255" s="1566" t="s">
        <v>972</v>
      </c>
      <c r="C255" s="1567" t="s">
        <v>2075</v>
      </c>
      <c r="D255" s="1567" t="s">
        <v>154</v>
      </c>
      <c r="E255" s="1567" t="s">
        <v>788</v>
      </c>
      <c r="F255" s="1565" t="s">
        <v>4904</v>
      </c>
      <c r="G255" s="1565">
        <v>87</v>
      </c>
      <c r="H255" s="1565" t="s">
        <v>949</v>
      </c>
      <c r="I255" s="1565" t="s">
        <v>4962</v>
      </c>
      <c r="J255" s="1568" t="s">
        <v>5007</v>
      </c>
      <c r="K255" s="1568" t="s">
        <v>5008</v>
      </c>
      <c r="L255" s="1567" t="s">
        <v>5009</v>
      </c>
      <c r="M255" s="1569">
        <v>44342</v>
      </c>
    </row>
    <row r="256" spans="1:13" s="1353" customFormat="1" ht="14.5">
      <c r="A256" s="1550">
        <v>249</v>
      </c>
      <c r="B256" s="1560" t="s">
        <v>972</v>
      </c>
      <c r="C256" s="1561" t="s">
        <v>2075</v>
      </c>
      <c r="D256" s="1561" t="s">
        <v>154</v>
      </c>
      <c r="E256" s="1561" t="s">
        <v>788</v>
      </c>
      <c r="F256" s="1550" t="s">
        <v>4904</v>
      </c>
      <c r="G256" s="1550">
        <v>67</v>
      </c>
      <c r="H256" s="1550" t="s">
        <v>1857</v>
      </c>
      <c r="I256" s="1550" t="s">
        <v>4962</v>
      </c>
      <c r="J256" s="1573">
        <v>384.6</v>
      </c>
      <c r="K256" s="1573">
        <v>0</v>
      </c>
      <c r="L256" s="1561" t="s">
        <v>5010</v>
      </c>
      <c r="M256" s="1563">
        <v>44342</v>
      </c>
    </row>
    <row r="257" spans="1:13" s="1353" customFormat="1" ht="14.5">
      <c r="A257" s="1550">
        <v>250</v>
      </c>
      <c r="B257" s="1560" t="s">
        <v>972</v>
      </c>
      <c r="C257" s="1561" t="s">
        <v>2075</v>
      </c>
      <c r="D257" s="1561" t="s">
        <v>154</v>
      </c>
      <c r="E257" s="1561" t="s">
        <v>788</v>
      </c>
      <c r="F257" s="1550" t="s">
        <v>4904</v>
      </c>
      <c r="G257" s="1550">
        <v>72</v>
      </c>
      <c r="H257" s="1550" t="s">
        <v>1858</v>
      </c>
      <c r="I257" s="1550" t="s">
        <v>4962</v>
      </c>
      <c r="J257" s="1573">
        <v>332</v>
      </c>
      <c r="K257" s="1573">
        <v>384.6</v>
      </c>
      <c r="L257" s="1561" t="s">
        <v>4997</v>
      </c>
      <c r="M257" s="1563">
        <v>44342</v>
      </c>
    </row>
    <row r="258" spans="1:13" s="1353" customFormat="1" ht="14.5">
      <c r="A258" s="1565">
        <v>251</v>
      </c>
      <c r="B258" s="1566" t="s">
        <v>972</v>
      </c>
      <c r="C258" s="1567" t="s">
        <v>2085</v>
      </c>
      <c r="D258" s="1567" t="s">
        <v>687</v>
      </c>
      <c r="E258" s="1567" t="s">
        <v>788</v>
      </c>
      <c r="F258" s="1565" t="s">
        <v>4904</v>
      </c>
      <c r="G258" s="1565">
        <v>87</v>
      </c>
      <c r="H258" s="1565" t="s">
        <v>1861</v>
      </c>
      <c r="I258" s="1565" t="s">
        <v>968</v>
      </c>
      <c r="J258" s="1565">
        <v>1.62</v>
      </c>
      <c r="K258" s="1565">
        <v>1.35</v>
      </c>
      <c r="L258" s="1567" t="s">
        <v>5011</v>
      </c>
      <c r="M258" s="1569">
        <v>44342</v>
      </c>
    </row>
    <row r="259" spans="1:13" s="1353" customFormat="1" ht="14.5">
      <c r="A259" s="1565">
        <v>252</v>
      </c>
      <c r="B259" s="1566" t="s">
        <v>972</v>
      </c>
      <c r="C259" s="1567" t="s">
        <v>2085</v>
      </c>
      <c r="D259" s="1567" t="s">
        <v>687</v>
      </c>
      <c r="E259" s="1567" t="s">
        <v>788</v>
      </c>
      <c r="F259" s="1565" t="s">
        <v>4904</v>
      </c>
      <c r="G259" s="1565">
        <v>87</v>
      </c>
      <c r="H259" s="1565" t="s">
        <v>1861</v>
      </c>
      <c r="I259" s="1565" t="s">
        <v>980</v>
      </c>
      <c r="J259" s="1565">
        <v>1.52</v>
      </c>
      <c r="K259" s="1565">
        <v>1.3</v>
      </c>
      <c r="L259" s="1567" t="s">
        <v>5011</v>
      </c>
      <c r="M259" s="1569">
        <v>44342</v>
      </c>
    </row>
    <row r="260" spans="1:13" s="1353" customFormat="1" ht="14.5">
      <c r="A260" s="1565">
        <v>253</v>
      </c>
      <c r="B260" s="1566" t="s">
        <v>972</v>
      </c>
      <c r="C260" s="1567" t="s">
        <v>2085</v>
      </c>
      <c r="D260" s="1567" t="s">
        <v>687</v>
      </c>
      <c r="E260" s="1567" t="s">
        <v>788</v>
      </c>
      <c r="F260" s="1565" t="s">
        <v>4904</v>
      </c>
      <c r="G260" s="1565">
        <v>87</v>
      </c>
      <c r="H260" s="1565" t="s">
        <v>1861</v>
      </c>
      <c r="I260" s="1565" t="s">
        <v>985</v>
      </c>
      <c r="J260" s="1565">
        <v>1.43</v>
      </c>
      <c r="K260" s="1565">
        <v>1.25</v>
      </c>
      <c r="L260" s="1567" t="s">
        <v>5011</v>
      </c>
      <c r="M260" s="1569">
        <v>44342</v>
      </c>
    </row>
    <row r="261" spans="1:13" s="1353" customFormat="1" ht="14.5">
      <c r="A261" s="1565">
        <v>254</v>
      </c>
      <c r="B261" s="1566" t="s">
        <v>972</v>
      </c>
      <c r="C261" s="1567" t="s">
        <v>2085</v>
      </c>
      <c r="D261" s="1567" t="s">
        <v>687</v>
      </c>
      <c r="E261" s="1567" t="s">
        <v>788</v>
      </c>
      <c r="F261" s="1565" t="s">
        <v>4904</v>
      </c>
      <c r="G261" s="1565">
        <v>87</v>
      </c>
      <c r="H261" s="1565" t="s">
        <v>1861</v>
      </c>
      <c r="I261" s="1565" t="s">
        <v>958</v>
      </c>
      <c r="J261" s="1565">
        <v>1.23</v>
      </c>
      <c r="K261" s="1565">
        <v>1.1100000000000001</v>
      </c>
      <c r="L261" s="1567" t="s">
        <v>5011</v>
      </c>
      <c r="M261" s="1569">
        <v>44342</v>
      </c>
    </row>
    <row r="262" spans="1:13" s="1353" customFormat="1" ht="14.5">
      <c r="A262" s="1565">
        <v>255</v>
      </c>
      <c r="B262" s="1566" t="s">
        <v>972</v>
      </c>
      <c r="C262" s="1567" t="s">
        <v>2085</v>
      </c>
      <c r="D262" s="1567" t="s">
        <v>687</v>
      </c>
      <c r="E262" s="1567" t="s">
        <v>788</v>
      </c>
      <c r="F262" s="1565" t="s">
        <v>4904</v>
      </c>
      <c r="G262" s="1565">
        <v>87</v>
      </c>
      <c r="H262" s="1565" t="s">
        <v>1861</v>
      </c>
      <c r="I262" s="1565" t="s">
        <v>970</v>
      </c>
      <c r="J262" s="1565">
        <v>1.07</v>
      </c>
      <c r="K262" s="1565">
        <v>1.01</v>
      </c>
      <c r="L262" s="1567" t="s">
        <v>5011</v>
      </c>
      <c r="M262" s="1569">
        <v>44342</v>
      </c>
    </row>
    <row r="263" spans="1:13" s="1353" customFormat="1" ht="14.5">
      <c r="A263" s="1565">
        <v>256</v>
      </c>
      <c r="B263" s="1566" t="s">
        <v>972</v>
      </c>
      <c r="C263" s="1567" t="s">
        <v>2089</v>
      </c>
      <c r="D263" s="1567" t="s">
        <v>689</v>
      </c>
      <c r="E263" s="1567" t="s">
        <v>788</v>
      </c>
      <c r="F263" s="1565" t="s">
        <v>4904</v>
      </c>
      <c r="G263" s="1565">
        <v>87</v>
      </c>
      <c r="H263" s="1565" t="s">
        <v>1861</v>
      </c>
      <c r="I263" s="1565" t="s">
        <v>968</v>
      </c>
      <c r="J263" s="1590">
        <v>17</v>
      </c>
      <c r="K263" s="1590">
        <v>9.51</v>
      </c>
      <c r="L263" s="1567" t="s">
        <v>5011</v>
      </c>
      <c r="M263" s="1569">
        <v>44342</v>
      </c>
    </row>
    <row r="264" spans="1:13" s="1353" customFormat="1" ht="14.5">
      <c r="A264" s="1565">
        <v>257</v>
      </c>
      <c r="B264" s="1566" t="s">
        <v>972</v>
      </c>
      <c r="C264" s="1567" t="s">
        <v>2089</v>
      </c>
      <c r="D264" s="1567" t="s">
        <v>689</v>
      </c>
      <c r="E264" s="1567" t="s">
        <v>788</v>
      </c>
      <c r="F264" s="1565" t="s">
        <v>4904</v>
      </c>
      <c r="G264" s="1565">
        <v>87</v>
      </c>
      <c r="H264" s="1565" t="s">
        <v>1861</v>
      </c>
      <c r="I264" s="1565" t="s">
        <v>980</v>
      </c>
      <c r="J264" s="1590">
        <v>16.5</v>
      </c>
      <c r="K264" s="1590">
        <v>8.74</v>
      </c>
      <c r="L264" s="1567" t="s">
        <v>5011</v>
      </c>
      <c r="M264" s="1569">
        <v>44342</v>
      </c>
    </row>
    <row r="265" spans="1:13" s="1353" customFormat="1" ht="14.5">
      <c r="A265" s="1565">
        <v>258</v>
      </c>
      <c r="B265" s="1566" t="s">
        <v>972</v>
      </c>
      <c r="C265" s="1567" t="s">
        <v>2089</v>
      </c>
      <c r="D265" s="1567" t="s">
        <v>689</v>
      </c>
      <c r="E265" s="1567" t="s">
        <v>788</v>
      </c>
      <c r="F265" s="1565" t="s">
        <v>4904</v>
      </c>
      <c r="G265" s="1565">
        <v>87</v>
      </c>
      <c r="H265" s="1565" t="s">
        <v>1861</v>
      </c>
      <c r="I265" s="1565" t="s">
        <v>985</v>
      </c>
      <c r="J265" s="1590">
        <v>16</v>
      </c>
      <c r="K265" s="1590">
        <v>8</v>
      </c>
      <c r="L265" s="1567" t="s">
        <v>5011</v>
      </c>
      <c r="M265" s="1569">
        <v>44342</v>
      </c>
    </row>
    <row r="266" spans="1:13" s="1353" customFormat="1" ht="14.5">
      <c r="A266" s="1565">
        <v>259</v>
      </c>
      <c r="B266" s="1566" t="s">
        <v>972</v>
      </c>
      <c r="C266" s="1567" t="s">
        <v>2089</v>
      </c>
      <c r="D266" s="1567" t="s">
        <v>689</v>
      </c>
      <c r="E266" s="1567" t="s">
        <v>788</v>
      </c>
      <c r="F266" s="1565" t="s">
        <v>4904</v>
      </c>
      <c r="G266" s="1565">
        <v>87</v>
      </c>
      <c r="H266" s="1565" t="s">
        <v>1861</v>
      </c>
      <c r="I266" s="1565" t="s">
        <v>958</v>
      </c>
      <c r="J266" s="1590">
        <v>15.5</v>
      </c>
      <c r="K266" s="1590">
        <v>7.4</v>
      </c>
      <c r="L266" s="1567" t="s">
        <v>5011</v>
      </c>
      <c r="M266" s="1569">
        <v>44342</v>
      </c>
    </row>
    <row r="267" spans="1:13" s="1353" customFormat="1" ht="14.5">
      <c r="A267" s="1565">
        <v>260</v>
      </c>
      <c r="B267" s="1566" t="s">
        <v>972</v>
      </c>
      <c r="C267" s="1567" t="s">
        <v>2089</v>
      </c>
      <c r="D267" s="1567" t="s">
        <v>689</v>
      </c>
      <c r="E267" s="1567" t="s">
        <v>788</v>
      </c>
      <c r="F267" s="1565" t="s">
        <v>4904</v>
      </c>
      <c r="G267" s="1565">
        <v>87</v>
      </c>
      <c r="H267" s="1565" t="s">
        <v>1861</v>
      </c>
      <c r="I267" s="1565" t="s">
        <v>970</v>
      </c>
      <c r="J267" s="1590">
        <v>15</v>
      </c>
      <c r="K267" s="1590">
        <v>4.5</v>
      </c>
      <c r="L267" s="1567" t="s">
        <v>5011</v>
      </c>
      <c r="M267" s="1569">
        <v>44342</v>
      </c>
    </row>
    <row r="268" spans="1:13" s="1353" customFormat="1" ht="29">
      <c r="A268" s="1565">
        <v>261</v>
      </c>
      <c r="B268" s="1566" t="s">
        <v>1026</v>
      </c>
      <c r="C268" s="1852" t="s">
        <v>2800</v>
      </c>
      <c r="D268" s="1567" t="s">
        <v>499</v>
      </c>
      <c r="E268" s="1567" t="s">
        <v>788</v>
      </c>
      <c r="F268" s="1565" t="s">
        <v>4904</v>
      </c>
      <c r="G268" s="1565">
        <v>41</v>
      </c>
      <c r="H268" s="1565" t="s">
        <v>4915</v>
      </c>
      <c r="I268" s="1565" t="s">
        <v>968</v>
      </c>
      <c r="J268" s="1565">
        <v>0.8</v>
      </c>
      <c r="K268" s="1595">
        <v>0.84</v>
      </c>
      <c r="L268" s="1567" t="s">
        <v>5012</v>
      </c>
      <c r="M268" s="1569">
        <v>44342</v>
      </c>
    </row>
    <row r="269" spans="1:13" s="1353" customFormat="1" ht="29">
      <c r="A269" s="1565">
        <v>262</v>
      </c>
      <c r="B269" s="1566" t="s">
        <v>1026</v>
      </c>
      <c r="C269" s="1852" t="s">
        <v>2800</v>
      </c>
      <c r="D269" s="1567" t="s">
        <v>499</v>
      </c>
      <c r="E269" s="1567" t="s">
        <v>788</v>
      </c>
      <c r="F269" s="1565" t="s">
        <v>4904</v>
      </c>
      <c r="G269" s="1565">
        <v>41</v>
      </c>
      <c r="H269" s="1565" t="s">
        <v>4915</v>
      </c>
      <c r="I269" s="1565" t="s">
        <v>980</v>
      </c>
      <c r="J269" s="1565">
        <v>0.8</v>
      </c>
      <c r="K269" s="1595">
        <v>0.84</v>
      </c>
      <c r="L269" s="1567" t="s">
        <v>5012</v>
      </c>
      <c r="M269" s="1569">
        <v>44342</v>
      </c>
    </row>
    <row r="270" spans="1:13" s="1353" customFormat="1" ht="29">
      <c r="A270" s="1565">
        <v>263</v>
      </c>
      <c r="B270" s="1566" t="s">
        <v>1026</v>
      </c>
      <c r="C270" s="1852" t="s">
        <v>2800</v>
      </c>
      <c r="D270" s="1567" t="s">
        <v>499</v>
      </c>
      <c r="E270" s="1567" t="s">
        <v>788</v>
      </c>
      <c r="F270" s="1565" t="s">
        <v>4904</v>
      </c>
      <c r="G270" s="1565">
        <v>41</v>
      </c>
      <c r="H270" s="1565" t="s">
        <v>4915</v>
      </c>
      <c r="I270" s="1565" t="s">
        <v>985</v>
      </c>
      <c r="J270" s="1565">
        <v>0.8</v>
      </c>
      <c r="K270" s="1595">
        <v>0.76</v>
      </c>
      <c r="L270" s="1567" t="s">
        <v>5012</v>
      </c>
      <c r="M270" s="1569">
        <v>44342</v>
      </c>
    </row>
    <row r="271" spans="1:13" s="1353" customFormat="1" ht="29">
      <c r="A271" s="1565">
        <v>264</v>
      </c>
      <c r="B271" s="1566" t="s">
        <v>1026</v>
      </c>
      <c r="C271" s="1852" t="s">
        <v>2800</v>
      </c>
      <c r="D271" s="1567" t="s">
        <v>499</v>
      </c>
      <c r="E271" s="1567" t="s">
        <v>788</v>
      </c>
      <c r="F271" s="1565" t="s">
        <v>4904</v>
      </c>
      <c r="G271" s="1565">
        <v>41</v>
      </c>
      <c r="H271" s="1565" t="s">
        <v>4915</v>
      </c>
      <c r="I271" s="1565" t="s">
        <v>958</v>
      </c>
      <c r="J271" s="1565">
        <v>0.7</v>
      </c>
      <c r="K271" s="1595">
        <v>0.68</v>
      </c>
      <c r="L271" s="1567" t="s">
        <v>5012</v>
      </c>
      <c r="M271" s="1569">
        <v>44342</v>
      </c>
    </row>
    <row r="272" spans="1:13" s="1353" customFormat="1" ht="29">
      <c r="A272" s="1565">
        <v>265</v>
      </c>
      <c r="B272" s="1566" t="s">
        <v>1026</v>
      </c>
      <c r="C272" s="1852" t="s">
        <v>2800</v>
      </c>
      <c r="D272" s="1567" t="s">
        <v>499</v>
      </c>
      <c r="E272" s="1567" t="s">
        <v>788</v>
      </c>
      <c r="F272" s="1565" t="s">
        <v>4904</v>
      </c>
      <c r="G272" s="1565">
        <v>41</v>
      </c>
      <c r="H272" s="1565" t="s">
        <v>4915</v>
      </c>
      <c r="I272" s="1565" t="s">
        <v>970</v>
      </c>
      <c r="J272" s="1565">
        <v>0.3</v>
      </c>
      <c r="K272" s="1595">
        <v>0.32</v>
      </c>
      <c r="L272" s="1567" t="s">
        <v>5012</v>
      </c>
      <c r="M272" s="1569">
        <v>44342</v>
      </c>
    </row>
    <row r="273" spans="1:13" s="1353" customFormat="1" ht="14.5">
      <c r="A273" s="1550">
        <v>266</v>
      </c>
      <c r="B273" s="1560" t="s">
        <v>972</v>
      </c>
      <c r="C273" s="1576" t="s">
        <v>1127</v>
      </c>
      <c r="D273" s="1561" t="s">
        <v>1126</v>
      </c>
      <c r="E273" s="1561" t="s">
        <v>788</v>
      </c>
      <c r="F273" s="1550" t="s">
        <v>4904</v>
      </c>
      <c r="G273" s="1550">
        <v>41</v>
      </c>
      <c r="H273" s="1550" t="s">
        <v>4915</v>
      </c>
      <c r="I273" s="1550" t="s">
        <v>980</v>
      </c>
      <c r="J273" s="1550">
        <v>3.3</v>
      </c>
      <c r="K273" s="1550">
        <v>0</v>
      </c>
      <c r="L273" s="1561" t="s">
        <v>5013</v>
      </c>
      <c r="M273" s="1563">
        <v>44343</v>
      </c>
    </row>
    <row r="274" spans="1:13" s="1353" customFormat="1" ht="14.5">
      <c r="A274" s="1550">
        <v>267</v>
      </c>
      <c r="B274" s="1560" t="s">
        <v>972</v>
      </c>
      <c r="C274" s="1576" t="s">
        <v>1127</v>
      </c>
      <c r="D274" s="1561" t="s">
        <v>1126</v>
      </c>
      <c r="E274" s="1561" t="s">
        <v>788</v>
      </c>
      <c r="F274" s="1550" t="s">
        <v>4904</v>
      </c>
      <c r="G274" s="1550">
        <v>41</v>
      </c>
      <c r="H274" s="1550" t="s">
        <v>4915</v>
      </c>
      <c r="I274" s="1550" t="s">
        <v>985</v>
      </c>
      <c r="J274" s="1550">
        <v>45.8</v>
      </c>
      <c r="K274" s="1550">
        <v>0</v>
      </c>
      <c r="L274" s="1561" t="s">
        <v>5013</v>
      </c>
      <c r="M274" s="1563">
        <v>44343</v>
      </c>
    </row>
    <row r="275" spans="1:13" s="1353" customFormat="1" ht="14.5">
      <c r="A275" s="1550">
        <v>268</v>
      </c>
      <c r="B275" s="1560" t="s">
        <v>972</v>
      </c>
      <c r="C275" s="1576" t="s">
        <v>1127</v>
      </c>
      <c r="D275" s="1561" t="s">
        <v>1126</v>
      </c>
      <c r="E275" s="1561" t="s">
        <v>788</v>
      </c>
      <c r="F275" s="1550" t="s">
        <v>4904</v>
      </c>
      <c r="G275" s="1550">
        <v>41</v>
      </c>
      <c r="H275" s="1550" t="s">
        <v>4915</v>
      </c>
      <c r="I275" s="1550" t="s">
        <v>958</v>
      </c>
      <c r="J275" s="1550">
        <v>45.8</v>
      </c>
      <c r="K275" s="1550">
        <v>0</v>
      </c>
      <c r="L275" s="1561" t="s">
        <v>5013</v>
      </c>
      <c r="M275" s="1563">
        <v>44343</v>
      </c>
    </row>
    <row r="276" spans="1:13" s="1353" customFormat="1" ht="43.5">
      <c r="A276" s="1565">
        <v>269</v>
      </c>
      <c r="B276" s="1566" t="s">
        <v>1008</v>
      </c>
      <c r="C276" s="1853" t="s">
        <v>4057</v>
      </c>
      <c r="D276" s="1567" t="s">
        <v>1880</v>
      </c>
      <c r="E276" s="1567" t="s">
        <v>4954</v>
      </c>
      <c r="F276" s="1565" t="s">
        <v>4904</v>
      </c>
      <c r="G276" s="1565">
        <v>20</v>
      </c>
      <c r="H276" s="1565" t="s">
        <v>1873</v>
      </c>
      <c r="I276" s="1565" t="s">
        <v>4986</v>
      </c>
      <c r="J276" s="1565" t="s">
        <v>991</v>
      </c>
      <c r="K276" s="1565" t="s">
        <v>2009</v>
      </c>
      <c r="L276" s="1567" t="s">
        <v>5014</v>
      </c>
      <c r="M276" s="1569">
        <v>44344</v>
      </c>
    </row>
    <row r="277" spans="1:13" s="1353" customFormat="1" ht="43.5">
      <c r="A277" s="1565">
        <v>270</v>
      </c>
      <c r="B277" s="1566" t="s">
        <v>1008</v>
      </c>
      <c r="C277" s="1853" t="s">
        <v>4029</v>
      </c>
      <c r="D277" s="1494" t="s">
        <v>4031</v>
      </c>
      <c r="E277" s="1567" t="s">
        <v>4954</v>
      </c>
      <c r="F277" s="1565" t="s">
        <v>4904</v>
      </c>
      <c r="G277" s="1565">
        <v>72</v>
      </c>
      <c r="H277" s="1565" t="s">
        <v>1858</v>
      </c>
      <c r="I277" s="1565" t="s">
        <v>968</v>
      </c>
      <c r="J277" s="1565"/>
      <c r="K277" s="1565">
        <v>0</v>
      </c>
      <c r="L277" s="1567" t="s">
        <v>5014</v>
      </c>
      <c r="M277" s="1569">
        <v>44344</v>
      </c>
    </row>
    <row r="278" spans="1:13" s="1353" customFormat="1" ht="43.5">
      <c r="A278" s="1565">
        <v>271</v>
      </c>
      <c r="B278" s="1566" t="s">
        <v>1008</v>
      </c>
      <c r="C278" s="1853" t="s">
        <v>4029</v>
      </c>
      <c r="D278" s="1494" t="s">
        <v>4031</v>
      </c>
      <c r="E278" s="1567" t="s">
        <v>4954</v>
      </c>
      <c r="F278" s="1565" t="s">
        <v>4904</v>
      </c>
      <c r="G278" s="1565">
        <v>72</v>
      </c>
      <c r="H278" s="1565" t="s">
        <v>1858</v>
      </c>
      <c r="I278" s="1565" t="s">
        <v>980</v>
      </c>
      <c r="J278" s="1565"/>
      <c r="K278" s="1565">
        <v>0</v>
      </c>
      <c r="L278" s="1567" t="s">
        <v>5014</v>
      </c>
      <c r="M278" s="1569">
        <v>44344</v>
      </c>
    </row>
    <row r="279" spans="1:13" s="1353" customFormat="1" ht="43.5">
      <c r="A279" s="1565">
        <v>272</v>
      </c>
      <c r="B279" s="1566" t="s">
        <v>1008</v>
      </c>
      <c r="C279" s="1853" t="s">
        <v>4029</v>
      </c>
      <c r="D279" s="1494" t="s">
        <v>4031</v>
      </c>
      <c r="E279" s="1567" t="s">
        <v>4954</v>
      </c>
      <c r="F279" s="1565" t="s">
        <v>4904</v>
      </c>
      <c r="G279" s="1565">
        <v>72</v>
      </c>
      <c r="H279" s="1565" t="s">
        <v>1858</v>
      </c>
      <c r="I279" s="1565" t="s">
        <v>985</v>
      </c>
      <c r="J279" s="1565"/>
      <c r="K279" s="1565">
        <v>0</v>
      </c>
      <c r="L279" s="1567" t="s">
        <v>5014</v>
      </c>
      <c r="M279" s="1569">
        <v>44344</v>
      </c>
    </row>
    <row r="280" spans="1:13" s="1353" customFormat="1" ht="43.5">
      <c r="A280" s="1565">
        <v>273</v>
      </c>
      <c r="B280" s="1566" t="s">
        <v>1008</v>
      </c>
      <c r="C280" s="1853" t="s">
        <v>4029</v>
      </c>
      <c r="D280" s="1494" t="s">
        <v>4031</v>
      </c>
      <c r="E280" s="1567" t="s">
        <v>4954</v>
      </c>
      <c r="F280" s="1565" t="s">
        <v>4904</v>
      </c>
      <c r="G280" s="1565">
        <v>72</v>
      </c>
      <c r="H280" s="1565" t="s">
        <v>1858</v>
      </c>
      <c r="I280" s="1565" t="s">
        <v>958</v>
      </c>
      <c r="J280" s="1565"/>
      <c r="K280" s="1565">
        <v>0</v>
      </c>
      <c r="L280" s="1567" t="s">
        <v>5014</v>
      </c>
      <c r="M280" s="1569">
        <v>44344</v>
      </c>
    </row>
    <row r="281" spans="1:13" s="1353" customFormat="1" ht="43.5">
      <c r="A281" s="1565">
        <v>274</v>
      </c>
      <c r="B281" s="1566" t="s">
        <v>1008</v>
      </c>
      <c r="C281" s="1853" t="s">
        <v>4029</v>
      </c>
      <c r="D281" s="1494" t="s">
        <v>4031</v>
      </c>
      <c r="E281" s="1567" t="s">
        <v>4954</v>
      </c>
      <c r="F281" s="1565" t="s">
        <v>4904</v>
      </c>
      <c r="G281" s="1565">
        <v>72</v>
      </c>
      <c r="H281" s="1565" t="s">
        <v>1858</v>
      </c>
      <c r="I281" s="1565" t="s">
        <v>970</v>
      </c>
      <c r="J281" s="1565"/>
      <c r="K281" s="1565">
        <v>0</v>
      </c>
      <c r="L281" s="1567" t="s">
        <v>5014</v>
      </c>
      <c r="M281" s="1569">
        <v>44344</v>
      </c>
    </row>
    <row r="282" spans="1:13" s="1353" customFormat="1" ht="43.5">
      <c r="A282" s="1565">
        <v>275</v>
      </c>
      <c r="B282" s="1566" t="s">
        <v>1008</v>
      </c>
      <c r="C282" s="1853" t="s">
        <v>4029</v>
      </c>
      <c r="D282" s="1494" t="s">
        <v>4031</v>
      </c>
      <c r="E282" s="1567" t="s">
        <v>4954</v>
      </c>
      <c r="F282" s="1565" t="s">
        <v>4904</v>
      </c>
      <c r="G282" s="1565">
        <v>87</v>
      </c>
      <c r="H282" s="1565" t="s">
        <v>5015</v>
      </c>
      <c r="I282" s="1565" t="s">
        <v>968</v>
      </c>
      <c r="J282" s="1565"/>
      <c r="K282" s="1565">
        <v>0</v>
      </c>
      <c r="L282" s="1567" t="s">
        <v>5014</v>
      </c>
      <c r="M282" s="1569">
        <v>44344</v>
      </c>
    </row>
    <row r="283" spans="1:13" s="1353" customFormat="1" ht="43.5">
      <c r="A283" s="1565">
        <v>276</v>
      </c>
      <c r="B283" s="1566" t="s">
        <v>1008</v>
      </c>
      <c r="C283" s="1853" t="s">
        <v>4029</v>
      </c>
      <c r="D283" s="1494" t="s">
        <v>4031</v>
      </c>
      <c r="E283" s="1567" t="s">
        <v>4954</v>
      </c>
      <c r="F283" s="1565" t="s">
        <v>4904</v>
      </c>
      <c r="G283" s="1565">
        <v>87</v>
      </c>
      <c r="H283" s="1565" t="s">
        <v>5015</v>
      </c>
      <c r="I283" s="1565" t="s">
        <v>980</v>
      </c>
      <c r="J283" s="1565"/>
      <c r="K283" s="1565">
        <v>1023</v>
      </c>
      <c r="L283" s="1567" t="s">
        <v>5014</v>
      </c>
      <c r="M283" s="1569">
        <v>44344</v>
      </c>
    </row>
    <row r="284" spans="1:13" s="1353" customFormat="1" ht="43.5">
      <c r="A284" s="1565">
        <v>277</v>
      </c>
      <c r="B284" s="1566" t="s">
        <v>1008</v>
      </c>
      <c r="C284" s="1853" t="s">
        <v>4029</v>
      </c>
      <c r="D284" s="1494" t="s">
        <v>4031</v>
      </c>
      <c r="E284" s="1567" t="s">
        <v>4954</v>
      </c>
      <c r="F284" s="1565" t="s">
        <v>4904</v>
      </c>
      <c r="G284" s="1565">
        <v>87</v>
      </c>
      <c r="H284" s="1565" t="s">
        <v>5015</v>
      </c>
      <c r="I284" s="1565" t="s">
        <v>985</v>
      </c>
      <c r="J284" s="1565"/>
      <c r="K284" s="1565">
        <v>2046</v>
      </c>
      <c r="L284" s="1567" t="s">
        <v>5014</v>
      </c>
      <c r="M284" s="1569">
        <v>44344</v>
      </c>
    </row>
    <row r="285" spans="1:13" s="1353" customFormat="1" ht="43.5">
      <c r="A285" s="1565">
        <v>278</v>
      </c>
      <c r="B285" s="1566" t="s">
        <v>1008</v>
      </c>
      <c r="C285" s="1853" t="s">
        <v>4029</v>
      </c>
      <c r="D285" s="1494" t="s">
        <v>4031</v>
      </c>
      <c r="E285" s="1567" t="s">
        <v>4954</v>
      </c>
      <c r="F285" s="1565" t="s">
        <v>4904</v>
      </c>
      <c r="G285" s="1565">
        <v>87</v>
      </c>
      <c r="H285" s="1565" t="s">
        <v>5015</v>
      </c>
      <c r="I285" s="1565" t="s">
        <v>958</v>
      </c>
      <c r="J285" s="1565"/>
      <c r="K285" s="1565">
        <v>3068</v>
      </c>
      <c r="L285" s="1567" t="s">
        <v>5014</v>
      </c>
      <c r="M285" s="1569">
        <v>44344</v>
      </c>
    </row>
    <row r="286" spans="1:13" s="1353" customFormat="1" ht="43.5">
      <c r="A286" s="1565">
        <v>279</v>
      </c>
      <c r="B286" s="1566" t="s">
        <v>1008</v>
      </c>
      <c r="C286" s="1853" t="s">
        <v>4029</v>
      </c>
      <c r="D286" s="1494" t="s">
        <v>4031</v>
      </c>
      <c r="E286" s="1567" t="s">
        <v>4954</v>
      </c>
      <c r="F286" s="1565" t="s">
        <v>4904</v>
      </c>
      <c r="G286" s="1565">
        <v>87</v>
      </c>
      <c r="H286" s="1565" t="s">
        <v>5015</v>
      </c>
      <c r="I286" s="1565" t="s">
        <v>970</v>
      </c>
      <c r="J286" s="1565"/>
      <c r="K286" s="1565">
        <v>4089</v>
      </c>
      <c r="L286" s="1567" t="s">
        <v>5014</v>
      </c>
      <c r="M286" s="1569">
        <v>44344</v>
      </c>
    </row>
    <row r="287" spans="1:13" s="1353" customFormat="1" ht="43.5">
      <c r="A287" s="1565">
        <v>280</v>
      </c>
      <c r="B287" s="1566" t="s">
        <v>982</v>
      </c>
      <c r="C287" s="1853" t="s">
        <v>4365</v>
      </c>
      <c r="D287" s="1494" t="s">
        <v>4367</v>
      </c>
      <c r="E287" s="1567" t="s">
        <v>4954</v>
      </c>
      <c r="F287" s="1565" t="s">
        <v>4904</v>
      </c>
      <c r="G287" s="1565">
        <v>20</v>
      </c>
      <c r="H287" s="1565" t="s">
        <v>1873</v>
      </c>
      <c r="I287" s="1565" t="s">
        <v>4986</v>
      </c>
      <c r="J287" s="1565" t="s">
        <v>141</v>
      </c>
      <c r="K287" s="1565" t="s">
        <v>991</v>
      </c>
      <c r="L287" s="1567" t="s">
        <v>5014</v>
      </c>
      <c r="M287" s="1569">
        <v>44344</v>
      </c>
    </row>
    <row r="288" spans="1:13" s="1353" customFormat="1" ht="43.5">
      <c r="A288" s="1565">
        <v>281</v>
      </c>
      <c r="B288" s="1566" t="s">
        <v>982</v>
      </c>
      <c r="C288" s="1853" t="s">
        <v>4369</v>
      </c>
      <c r="D288" s="1495" t="s">
        <v>5016</v>
      </c>
      <c r="E288" s="1567" t="s">
        <v>4954</v>
      </c>
      <c r="F288" s="1565" t="s">
        <v>4904</v>
      </c>
      <c r="G288" s="1565">
        <v>20</v>
      </c>
      <c r="H288" s="1565" t="s">
        <v>1873</v>
      </c>
      <c r="I288" s="1565" t="s">
        <v>4986</v>
      </c>
      <c r="J288" s="1565" t="s">
        <v>141</v>
      </c>
      <c r="K288" s="1565" t="s">
        <v>991</v>
      </c>
      <c r="L288" s="1567" t="s">
        <v>5014</v>
      </c>
      <c r="M288" s="1569">
        <v>44344</v>
      </c>
    </row>
    <row r="289" spans="1:13" s="1353" customFormat="1" ht="43.5">
      <c r="A289" s="1565">
        <v>282</v>
      </c>
      <c r="B289" s="1566" t="s">
        <v>1012</v>
      </c>
      <c r="C289" s="1853" t="s">
        <v>4524</v>
      </c>
      <c r="D289" s="1494" t="s">
        <v>4525</v>
      </c>
      <c r="E289" s="1567" t="s">
        <v>4954</v>
      </c>
      <c r="F289" s="1565" t="s">
        <v>4904</v>
      </c>
      <c r="G289" s="1565">
        <v>20</v>
      </c>
      <c r="H289" s="1565" t="s">
        <v>1873</v>
      </c>
      <c r="I289" s="1565" t="s">
        <v>4986</v>
      </c>
      <c r="J289" s="1565" t="s">
        <v>991</v>
      </c>
      <c r="K289" s="1565" t="s">
        <v>4566</v>
      </c>
      <c r="L289" s="1567" t="s">
        <v>5014</v>
      </c>
      <c r="M289" s="1569">
        <v>44344</v>
      </c>
    </row>
    <row r="290" spans="1:13" s="1353" customFormat="1" ht="43.5">
      <c r="A290" s="1565">
        <v>283</v>
      </c>
      <c r="B290" s="1566" t="s">
        <v>1012</v>
      </c>
      <c r="C290" s="1853" t="s">
        <v>4562</v>
      </c>
      <c r="D290" s="1494" t="s">
        <v>4564</v>
      </c>
      <c r="E290" s="1567" t="s">
        <v>4954</v>
      </c>
      <c r="F290" s="1565" t="s">
        <v>4904</v>
      </c>
      <c r="G290" s="1565">
        <v>20</v>
      </c>
      <c r="H290" s="1565" t="s">
        <v>1873</v>
      </c>
      <c r="I290" s="1565" t="s">
        <v>4986</v>
      </c>
      <c r="J290" s="1565" t="s">
        <v>991</v>
      </c>
      <c r="K290" s="1565" t="s">
        <v>4566</v>
      </c>
      <c r="L290" s="1567" t="s">
        <v>5014</v>
      </c>
      <c r="M290" s="1569">
        <v>44344</v>
      </c>
    </row>
    <row r="291" spans="1:13" s="1353" customFormat="1" ht="43.5">
      <c r="A291" s="1565">
        <v>284</v>
      </c>
      <c r="B291" s="1566" t="s">
        <v>1012</v>
      </c>
      <c r="C291" s="1853" t="s">
        <v>4568</v>
      </c>
      <c r="D291" s="1494" t="s">
        <v>4570</v>
      </c>
      <c r="E291" s="1567" t="s">
        <v>4954</v>
      </c>
      <c r="F291" s="1565" t="s">
        <v>4904</v>
      </c>
      <c r="G291" s="1565">
        <v>23</v>
      </c>
      <c r="H291" s="1565" t="s">
        <v>1090</v>
      </c>
      <c r="I291" s="1565" t="s">
        <v>4986</v>
      </c>
      <c r="J291" s="1565" t="s">
        <v>966</v>
      </c>
      <c r="K291" s="1565" t="s">
        <v>978</v>
      </c>
      <c r="L291" s="1567" t="s">
        <v>5014</v>
      </c>
      <c r="M291" s="1569">
        <v>44344</v>
      </c>
    </row>
    <row r="292" spans="1:13" s="1353" customFormat="1" ht="43.5">
      <c r="A292" s="1565">
        <v>285</v>
      </c>
      <c r="B292" s="1566" t="s">
        <v>1012</v>
      </c>
      <c r="C292" s="1853" t="s">
        <v>4553</v>
      </c>
      <c r="D292" s="1494" t="s">
        <v>4555</v>
      </c>
      <c r="E292" s="1567" t="s">
        <v>4954</v>
      </c>
      <c r="F292" s="1565" t="s">
        <v>4904</v>
      </c>
      <c r="G292" s="1565">
        <v>20</v>
      </c>
      <c r="H292" s="1565" t="s">
        <v>1873</v>
      </c>
      <c r="I292" s="1565" t="s">
        <v>4986</v>
      </c>
      <c r="J292" s="1565" t="s">
        <v>991</v>
      </c>
      <c r="K292" s="1565" t="s">
        <v>994</v>
      </c>
      <c r="L292" s="1567" t="s">
        <v>5014</v>
      </c>
      <c r="M292" s="1569">
        <v>44344</v>
      </c>
    </row>
    <row r="293" spans="1:13" s="1353" customFormat="1" ht="43.5">
      <c r="A293" s="1565">
        <v>286</v>
      </c>
      <c r="B293" s="1566" t="s">
        <v>1012</v>
      </c>
      <c r="C293" s="1853" t="s">
        <v>4557</v>
      </c>
      <c r="D293" s="1494" t="s">
        <v>4559</v>
      </c>
      <c r="E293" s="1567" t="s">
        <v>4954</v>
      </c>
      <c r="F293" s="1565" t="s">
        <v>4904</v>
      </c>
      <c r="G293" s="1565">
        <v>20</v>
      </c>
      <c r="H293" s="1565" t="s">
        <v>1873</v>
      </c>
      <c r="I293" s="1565" t="s">
        <v>4986</v>
      </c>
      <c r="J293" s="1565" t="s">
        <v>991</v>
      </c>
      <c r="K293" s="1565" t="s">
        <v>994</v>
      </c>
      <c r="L293" s="1567" t="s">
        <v>5014</v>
      </c>
      <c r="M293" s="1569">
        <v>44344</v>
      </c>
    </row>
    <row r="294" spans="1:13" s="1353" customFormat="1" ht="14.5">
      <c r="A294" s="1596">
        <v>287</v>
      </c>
      <c r="B294" s="1597" t="s">
        <v>1008</v>
      </c>
      <c r="C294" s="1854" t="s">
        <v>5017</v>
      </c>
      <c r="D294" s="1598" t="s">
        <v>5018</v>
      </c>
      <c r="E294" s="1598" t="s">
        <v>788</v>
      </c>
      <c r="F294" s="1596" t="s">
        <v>4904</v>
      </c>
      <c r="G294" s="1596">
        <v>41</v>
      </c>
      <c r="H294" s="1596" t="s">
        <v>5019</v>
      </c>
      <c r="I294" s="1596" t="s">
        <v>968</v>
      </c>
      <c r="J294" s="1596">
        <v>0.76400000000000001</v>
      </c>
      <c r="K294" s="1596">
        <v>0.76</v>
      </c>
      <c r="L294" s="1598" t="s">
        <v>5020</v>
      </c>
      <c r="M294" s="1599">
        <v>44356</v>
      </c>
    </row>
    <row r="295" spans="1:13" s="1353" customFormat="1" ht="14.5">
      <c r="A295" s="1596">
        <v>288</v>
      </c>
      <c r="B295" s="1597" t="s">
        <v>1008</v>
      </c>
      <c r="C295" s="1854" t="s">
        <v>5017</v>
      </c>
      <c r="D295" s="1598" t="s">
        <v>5018</v>
      </c>
      <c r="E295" s="1598" t="s">
        <v>788</v>
      </c>
      <c r="F295" s="1596" t="s">
        <v>4904</v>
      </c>
      <c r="G295" s="1596">
        <v>41</v>
      </c>
      <c r="H295" s="1596" t="s">
        <v>5019</v>
      </c>
      <c r="I295" s="1596" t="s">
        <v>980</v>
      </c>
      <c r="J295" s="1596">
        <v>0.71699999999999997</v>
      </c>
      <c r="K295" s="1596">
        <v>0.72</v>
      </c>
      <c r="L295" s="1598" t="s">
        <v>5020</v>
      </c>
      <c r="M295" s="1599">
        <v>44356</v>
      </c>
    </row>
    <row r="296" spans="1:13" s="1353" customFormat="1" ht="14.5">
      <c r="A296" s="1596">
        <v>289</v>
      </c>
      <c r="B296" s="1597" t="s">
        <v>1008</v>
      </c>
      <c r="C296" s="1854" t="s">
        <v>5017</v>
      </c>
      <c r="D296" s="1598" t="s">
        <v>5018</v>
      </c>
      <c r="E296" s="1598" t="s">
        <v>788</v>
      </c>
      <c r="F296" s="1596" t="s">
        <v>4904</v>
      </c>
      <c r="G296" s="1596">
        <v>41</v>
      </c>
      <c r="H296" s="1596" t="s">
        <v>5019</v>
      </c>
      <c r="I296" s="1596" t="s">
        <v>985</v>
      </c>
      <c r="J296" s="1596">
        <v>0.67</v>
      </c>
      <c r="K296" s="1596">
        <v>0.67</v>
      </c>
      <c r="L296" s="1598" t="s">
        <v>5020</v>
      </c>
      <c r="M296" s="1599">
        <v>44356</v>
      </c>
    </row>
    <row r="297" spans="1:13" s="1353" customFormat="1" ht="14.5">
      <c r="A297" s="1596">
        <v>290</v>
      </c>
      <c r="B297" s="1597" t="s">
        <v>1008</v>
      </c>
      <c r="C297" s="1854" t="s">
        <v>5017</v>
      </c>
      <c r="D297" s="1598" t="s">
        <v>5018</v>
      </c>
      <c r="E297" s="1598" t="s">
        <v>788</v>
      </c>
      <c r="F297" s="1596" t="s">
        <v>4904</v>
      </c>
      <c r="G297" s="1596">
        <v>41</v>
      </c>
      <c r="H297" s="1596" t="s">
        <v>5019</v>
      </c>
      <c r="I297" s="1596" t="s">
        <v>958</v>
      </c>
      <c r="J297" s="1596">
        <v>0.623</v>
      </c>
      <c r="K297" s="1596">
        <v>0.62</v>
      </c>
      <c r="L297" s="1598" t="s">
        <v>5020</v>
      </c>
      <c r="M297" s="1599">
        <v>44356</v>
      </c>
    </row>
    <row r="298" spans="1:13" s="1353" customFormat="1" ht="14.5">
      <c r="A298" s="1596">
        <v>291</v>
      </c>
      <c r="B298" s="1597" t="s">
        <v>1008</v>
      </c>
      <c r="C298" s="1854" t="s">
        <v>5017</v>
      </c>
      <c r="D298" s="1598" t="s">
        <v>5018</v>
      </c>
      <c r="E298" s="1598" t="s">
        <v>788</v>
      </c>
      <c r="F298" s="1596" t="s">
        <v>4904</v>
      </c>
      <c r="G298" s="1596">
        <v>41</v>
      </c>
      <c r="H298" s="1596" t="s">
        <v>5019</v>
      </c>
      <c r="I298" s="1596" t="s">
        <v>970</v>
      </c>
      <c r="J298" s="1596">
        <v>0.57599999999999996</v>
      </c>
      <c r="K298" s="1596">
        <v>0.57999999999999996</v>
      </c>
      <c r="L298" s="1598" t="s">
        <v>5020</v>
      </c>
      <c r="M298" s="1599">
        <v>44356</v>
      </c>
    </row>
    <row r="299" spans="1:13" s="1353" customFormat="1" ht="14.5">
      <c r="A299" s="1596">
        <v>292</v>
      </c>
      <c r="B299" s="1597" t="s">
        <v>1008</v>
      </c>
      <c r="C299" s="1854" t="s">
        <v>4011</v>
      </c>
      <c r="D299" s="1598" t="s">
        <v>178</v>
      </c>
      <c r="E299" s="1598" t="s">
        <v>788</v>
      </c>
      <c r="F299" s="1596" t="s">
        <v>4904</v>
      </c>
      <c r="G299" s="1596">
        <v>87</v>
      </c>
      <c r="H299" s="1596" t="s">
        <v>1861</v>
      </c>
      <c r="I299" s="1596" t="s">
        <v>980</v>
      </c>
      <c r="J299" s="1596">
        <v>88.2</v>
      </c>
      <c r="K299" s="1596">
        <v>88.3</v>
      </c>
      <c r="L299" s="1598" t="s">
        <v>5020</v>
      </c>
      <c r="M299" s="1599">
        <v>44356</v>
      </c>
    </row>
    <row r="300" spans="1:13" s="1353" customFormat="1" ht="14.5">
      <c r="A300" s="1596">
        <v>293</v>
      </c>
      <c r="B300" s="1597" t="s">
        <v>1008</v>
      </c>
      <c r="C300" s="1854" t="s">
        <v>5021</v>
      </c>
      <c r="D300" s="1598" t="s">
        <v>5022</v>
      </c>
      <c r="E300" s="1598" t="s">
        <v>788</v>
      </c>
      <c r="F300" s="1596" t="s">
        <v>4904</v>
      </c>
      <c r="G300" s="1596">
        <v>97</v>
      </c>
      <c r="H300" s="1596" t="s">
        <v>1907</v>
      </c>
      <c r="I300" s="1596"/>
      <c r="J300" s="1596">
        <v>-0.05</v>
      </c>
      <c r="K300" s="1596">
        <v>-2.34</v>
      </c>
      <c r="L300" s="1598" t="s">
        <v>5020</v>
      </c>
      <c r="M300" s="1599">
        <v>44356</v>
      </c>
    </row>
    <row r="301" spans="1:13" s="1353" customFormat="1" ht="14.5">
      <c r="A301" s="1596">
        <v>294</v>
      </c>
      <c r="B301" s="1597" t="s">
        <v>1008</v>
      </c>
      <c r="C301" s="1854" t="s">
        <v>5021</v>
      </c>
      <c r="D301" s="1600" t="s">
        <v>5023</v>
      </c>
      <c r="E301" s="1598" t="s">
        <v>788</v>
      </c>
      <c r="F301" s="1596" t="s">
        <v>4904</v>
      </c>
      <c r="G301" s="1596">
        <v>101</v>
      </c>
      <c r="H301" s="1596" t="s">
        <v>1911</v>
      </c>
      <c r="I301" s="1596"/>
      <c r="J301" s="1596">
        <v>0.05</v>
      </c>
      <c r="K301" s="1596">
        <v>1.17</v>
      </c>
      <c r="L301" s="1598" t="s">
        <v>5020</v>
      </c>
      <c r="M301" s="1599">
        <v>44356</v>
      </c>
    </row>
    <row r="302" spans="1:13" s="1353" customFormat="1" ht="14.5">
      <c r="A302" s="1601">
        <v>295</v>
      </c>
      <c r="B302" s="1602" t="s">
        <v>972</v>
      </c>
      <c r="C302" s="1670" t="s">
        <v>2078</v>
      </c>
      <c r="D302" s="1603" t="s">
        <v>629</v>
      </c>
      <c r="E302" s="1603" t="s">
        <v>788</v>
      </c>
      <c r="F302" s="1601" t="s">
        <v>4904</v>
      </c>
      <c r="G302" s="1601">
        <v>87</v>
      </c>
      <c r="H302" s="1601" t="s">
        <v>1861</v>
      </c>
      <c r="I302" s="1601" t="s">
        <v>968</v>
      </c>
      <c r="J302" s="1601">
        <v>171.4</v>
      </c>
      <c r="K302" s="1601" t="s">
        <v>4797</v>
      </c>
      <c r="L302" s="1603" t="s">
        <v>5024</v>
      </c>
      <c r="M302" s="1604">
        <v>44356</v>
      </c>
    </row>
    <row r="303" spans="1:13" s="1353" customFormat="1" ht="14.5">
      <c r="A303" s="1601">
        <v>296</v>
      </c>
      <c r="B303" s="1602" t="s">
        <v>972</v>
      </c>
      <c r="C303" s="1670" t="s">
        <v>2078</v>
      </c>
      <c r="D303" s="1603" t="s">
        <v>629</v>
      </c>
      <c r="E303" s="1603" t="s">
        <v>788</v>
      </c>
      <c r="F303" s="1601" t="s">
        <v>4904</v>
      </c>
      <c r="G303" s="1601">
        <v>87</v>
      </c>
      <c r="H303" s="1601" t="s">
        <v>1861</v>
      </c>
      <c r="I303" s="1601" t="s">
        <v>980</v>
      </c>
      <c r="J303" s="1601">
        <v>168.5</v>
      </c>
      <c r="K303" s="1601" t="s">
        <v>4797</v>
      </c>
      <c r="L303" s="1603" t="s">
        <v>5024</v>
      </c>
      <c r="M303" s="1604">
        <v>44356</v>
      </c>
    </row>
    <row r="304" spans="1:13" s="1353" customFormat="1" ht="14.5">
      <c r="A304" s="1601">
        <v>297</v>
      </c>
      <c r="B304" s="1602" t="s">
        <v>972</v>
      </c>
      <c r="C304" s="1670" t="s">
        <v>2078</v>
      </c>
      <c r="D304" s="1603" t="s">
        <v>629</v>
      </c>
      <c r="E304" s="1603" t="s">
        <v>788</v>
      </c>
      <c r="F304" s="1601" t="s">
        <v>4904</v>
      </c>
      <c r="G304" s="1601">
        <v>87</v>
      </c>
      <c r="H304" s="1601" t="s">
        <v>1861</v>
      </c>
      <c r="I304" s="1601" t="s">
        <v>985</v>
      </c>
      <c r="J304" s="1601">
        <v>163.30000000000001</v>
      </c>
      <c r="K304" s="1601" t="s">
        <v>4797</v>
      </c>
      <c r="L304" s="1603" t="s">
        <v>5024</v>
      </c>
      <c r="M304" s="1604">
        <v>44356</v>
      </c>
    </row>
    <row r="305" spans="1:14" s="1353" customFormat="1" ht="14.5">
      <c r="A305" s="1601">
        <v>298</v>
      </c>
      <c r="B305" s="1602" t="s">
        <v>972</v>
      </c>
      <c r="C305" s="1670" t="s">
        <v>2078</v>
      </c>
      <c r="D305" s="1603" t="s">
        <v>629</v>
      </c>
      <c r="E305" s="1603" t="s">
        <v>788</v>
      </c>
      <c r="F305" s="1601" t="s">
        <v>4904</v>
      </c>
      <c r="G305" s="1601">
        <v>87</v>
      </c>
      <c r="H305" s="1601" t="s">
        <v>1861</v>
      </c>
      <c r="I305" s="1601" t="s">
        <v>958</v>
      </c>
      <c r="J305" s="1601">
        <v>156.30000000000001</v>
      </c>
      <c r="K305" s="1601" t="s">
        <v>4797</v>
      </c>
      <c r="L305" s="1603" t="s">
        <v>5024</v>
      </c>
      <c r="M305" s="1604">
        <v>44356</v>
      </c>
    </row>
    <row r="306" spans="1:14" s="1353" customFormat="1" ht="14.5">
      <c r="A306" s="1601">
        <v>299</v>
      </c>
      <c r="B306" s="1602" t="s">
        <v>972</v>
      </c>
      <c r="C306" s="1670" t="s">
        <v>2078</v>
      </c>
      <c r="D306" s="1603" t="s">
        <v>629</v>
      </c>
      <c r="E306" s="1603" t="s">
        <v>788</v>
      </c>
      <c r="F306" s="1601" t="s">
        <v>4904</v>
      </c>
      <c r="G306" s="1601">
        <v>87</v>
      </c>
      <c r="H306" s="1601" t="s">
        <v>1861</v>
      </c>
      <c r="I306" s="1601" t="s">
        <v>970</v>
      </c>
      <c r="J306" s="1601">
        <v>149.19999999999999</v>
      </c>
      <c r="K306" s="1601" t="s">
        <v>4797</v>
      </c>
      <c r="L306" s="1603" t="s">
        <v>5024</v>
      </c>
      <c r="M306" s="1604">
        <v>44356</v>
      </c>
    </row>
    <row r="307" spans="1:14" s="1353" customFormat="1" ht="14.5">
      <c r="A307" s="1601">
        <v>300</v>
      </c>
      <c r="B307" s="1602" t="s">
        <v>972</v>
      </c>
      <c r="C307" s="1670" t="s">
        <v>2132</v>
      </c>
      <c r="D307" s="1603" t="s">
        <v>2133</v>
      </c>
      <c r="E307" s="1603" t="s">
        <v>788</v>
      </c>
      <c r="F307" s="1601" t="s">
        <v>4904</v>
      </c>
      <c r="G307" s="1601">
        <v>62</v>
      </c>
      <c r="H307" s="1601" t="s">
        <v>956</v>
      </c>
      <c r="I307" s="1601" t="s">
        <v>968</v>
      </c>
      <c r="J307" s="1601" t="s">
        <v>5025</v>
      </c>
      <c r="K307" s="1601"/>
      <c r="L307" s="1603" t="s">
        <v>5026</v>
      </c>
      <c r="M307" s="1604">
        <v>44372</v>
      </c>
    </row>
    <row r="308" spans="1:14" s="1353" customFormat="1" ht="14.5">
      <c r="A308" s="1601">
        <v>301</v>
      </c>
      <c r="B308" s="1602" t="s">
        <v>972</v>
      </c>
      <c r="C308" s="1855" t="s">
        <v>2132</v>
      </c>
      <c r="D308" s="1603" t="s">
        <v>2133</v>
      </c>
      <c r="E308" s="1603" t="s">
        <v>788</v>
      </c>
      <c r="F308" s="1601" t="s">
        <v>4904</v>
      </c>
      <c r="G308" s="1601">
        <v>62</v>
      </c>
      <c r="H308" s="1601" t="s">
        <v>956</v>
      </c>
      <c r="I308" s="1601" t="s">
        <v>980</v>
      </c>
      <c r="J308" s="1601" t="s">
        <v>5025</v>
      </c>
      <c r="K308" s="1601"/>
      <c r="L308" s="1603" t="s">
        <v>5026</v>
      </c>
      <c r="M308" s="1604">
        <v>44372</v>
      </c>
    </row>
    <row r="309" spans="1:14" s="1353" customFormat="1" ht="14.5">
      <c r="A309" s="1601">
        <v>302</v>
      </c>
      <c r="B309" s="1602" t="s">
        <v>972</v>
      </c>
      <c r="C309" s="1670" t="s">
        <v>2132</v>
      </c>
      <c r="D309" s="1603" t="s">
        <v>2133</v>
      </c>
      <c r="E309" s="1603" t="s">
        <v>788</v>
      </c>
      <c r="F309" s="1601" t="s">
        <v>4904</v>
      </c>
      <c r="G309" s="1601">
        <v>62</v>
      </c>
      <c r="H309" s="1601" t="s">
        <v>956</v>
      </c>
      <c r="I309" s="1601" t="s">
        <v>985</v>
      </c>
      <c r="J309" s="1601" t="s">
        <v>5025</v>
      </c>
      <c r="K309" s="1601"/>
      <c r="L309" s="1603" t="s">
        <v>5026</v>
      </c>
      <c r="M309" s="1604">
        <v>44372</v>
      </c>
    </row>
    <row r="310" spans="1:14" s="1353" customFormat="1" ht="14.5">
      <c r="A310" s="1601">
        <v>303</v>
      </c>
      <c r="B310" s="1602" t="s">
        <v>972</v>
      </c>
      <c r="C310" s="1855" t="s">
        <v>2132</v>
      </c>
      <c r="D310" s="1603" t="s">
        <v>2133</v>
      </c>
      <c r="E310" s="1603" t="s">
        <v>788</v>
      </c>
      <c r="F310" s="1601" t="s">
        <v>4904</v>
      </c>
      <c r="G310" s="1601">
        <v>62</v>
      </c>
      <c r="H310" s="1601" t="s">
        <v>956</v>
      </c>
      <c r="I310" s="1601" t="s">
        <v>958</v>
      </c>
      <c r="J310" s="1601" t="s">
        <v>5025</v>
      </c>
      <c r="K310" s="1601"/>
      <c r="L310" s="1603" t="s">
        <v>5026</v>
      </c>
      <c r="M310" s="1604">
        <v>44372</v>
      </c>
    </row>
    <row r="311" spans="1:14" s="1353" customFormat="1" ht="29">
      <c r="A311" s="1601">
        <v>304</v>
      </c>
      <c r="B311" s="1602" t="s">
        <v>1018</v>
      </c>
      <c r="C311" s="1856" t="s">
        <v>1159</v>
      </c>
      <c r="D311" s="1603" t="s">
        <v>604</v>
      </c>
      <c r="E311" s="1603" t="s">
        <v>788</v>
      </c>
      <c r="F311" s="1601" t="s">
        <v>4904</v>
      </c>
      <c r="G311" s="1601">
        <v>18</v>
      </c>
      <c r="H311" s="1601" t="s">
        <v>944</v>
      </c>
      <c r="I311" s="1596"/>
      <c r="J311" s="1596" t="s">
        <v>965</v>
      </c>
      <c r="K311" s="1596" t="s">
        <v>977</v>
      </c>
      <c r="L311" s="1603" t="s">
        <v>5027</v>
      </c>
      <c r="M311" s="1604">
        <v>44539</v>
      </c>
    </row>
    <row r="312" spans="1:14" s="1356" customFormat="1" ht="29">
      <c r="A312" s="1601">
        <v>305</v>
      </c>
      <c r="B312" s="1602" t="s">
        <v>972</v>
      </c>
      <c r="C312" s="1856" t="s">
        <v>1125</v>
      </c>
      <c r="D312" s="1603" t="s">
        <v>604</v>
      </c>
      <c r="E312" s="1603" t="s">
        <v>788</v>
      </c>
      <c r="F312" s="1601" t="s">
        <v>4904</v>
      </c>
      <c r="G312" s="1601">
        <v>18</v>
      </c>
      <c r="H312" s="1601" t="s">
        <v>944</v>
      </c>
      <c r="I312" s="1596"/>
      <c r="J312" s="1596" t="s">
        <v>965</v>
      </c>
      <c r="K312" s="1596" t="s">
        <v>977</v>
      </c>
      <c r="L312" s="1603" t="s">
        <v>5027</v>
      </c>
      <c r="M312" s="1604">
        <v>44539</v>
      </c>
      <c r="N312" s="1353"/>
    </row>
    <row r="313" spans="1:14" s="1356" customFormat="1" ht="29">
      <c r="A313" s="1601">
        <v>306</v>
      </c>
      <c r="B313" s="1602" t="s">
        <v>1022</v>
      </c>
      <c r="C313" s="1856" t="s">
        <v>1162</v>
      </c>
      <c r="D313" s="1603" t="s">
        <v>604</v>
      </c>
      <c r="E313" s="1603" t="s">
        <v>788</v>
      </c>
      <c r="F313" s="1601" t="s">
        <v>4904</v>
      </c>
      <c r="G313" s="1601">
        <v>18</v>
      </c>
      <c r="H313" s="1601" t="s">
        <v>944</v>
      </c>
      <c r="I313" s="1596"/>
      <c r="J313" s="1596" t="s">
        <v>965</v>
      </c>
      <c r="K313" s="1596" t="s">
        <v>977</v>
      </c>
      <c r="L313" s="1603" t="s">
        <v>5027</v>
      </c>
      <c r="M313" s="1604">
        <v>44539</v>
      </c>
      <c r="N313" s="1353"/>
    </row>
    <row r="314" spans="1:14" s="1353" customFormat="1" ht="29">
      <c r="A314" s="1601">
        <v>307</v>
      </c>
      <c r="B314" s="1602" t="s">
        <v>5028</v>
      </c>
      <c r="C314" s="1857" t="s">
        <v>1131</v>
      </c>
      <c r="D314" s="1603" t="s">
        <v>604</v>
      </c>
      <c r="E314" s="1603" t="s">
        <v>788</v>
      </c>
      <c r="F314" s="1601" t="s">
        <v>4904</v>
      </c>
      <c r="G314" s="1601">
        <v>18</v>
      </c>
      <c r="H314" s="1601" t="s">
        <v>944</v>
      </c>
      <c r="I314" s="1596"/>
      <c r="J314" s="1596" t="s">
        <v>965</v>
      </c>
      <c r="K314" s="1596" t="s">
        <v>977</v>
      </c>
      <c r="L314" s="1603" t="s">
        <v>5027</v>
      </c>
      <c r="M314" s="1604">
        <v>44539</v>
      </c>
    </row>
    <row r="315" spans="1:14" s="1353" customFormat="1" ht="29">
      <c r="A315" s="1601">
        <v>308</v>
      </c>
      <c r="B315" s="1602" t="s">
        <v>990</v>
      </c>
      <c r="C315" s="1856" t="s">
        <v>1134</v>
      </c>
      <c r="D315" s="1603" t="s">
        <v>604</v>
      </c>
      <c r="E315" s="1603" t="s">
        <v>788</v>
      </c>
      <c r="F315" s="1601" t="s">
        <v>4904</v>
      </c>
      <c r="G315" s="1601">
        <v>18</v>
      </c>
      <c r="H315" s="1601" t="s">
        <v>944</v>
      </c>
      <c r="I315" s="1596"/>
      <c r="J315" s="1596" t="s">
        <v>965</v>
      </c>
      <c r="K315" s="1596" t="s">
        <v>977</v>
      </c>
      <c r="L315" s="1603" t="s">
        <v>5027</v>
      </c>
      <c r="M315" s="1604">
        <v>44539</v>
      </c>
    </row>
    <row r="316" spans="1:14" s="1353" customFormat="1" ht="29">
      <c r="A316" s="1601">
        <v>309</v>
      </c>
      <c r="B316" s="1602" t="s">
        <v>1026</v>
      </c>
      <c r="C316" s="1856" t="s">
        <v>1165</v>
      </c>
      <c r="D316" s="1603" t="s">
        <v>604</v>
      </c>
      <c r="E316" s="1603" t="s">
        <v>788</v>
      </c>
      <c r="F316" s="1601" t="s">
        <v>4904</v>
      </c>
      <c r="G316" s="1601">
        <v>18</v>
      </c>
      <c r="H316" s="1601" t="s">
        <v>944</v>
      </c>
      <c r="I316" s="1596"/>
      <c r="J316" s="1596" t="s">
        <v>965</v>
      </c>
      <c r="K316" s="1596" t="s">
        <v>977</v>
      </c>
      <c r="L316" s="1603" t="s">
        <v>5027</v>
      </c>
      <c r="M316" s="1604">
        <v>44539</v>
      </c>
    </row>
    <row r="317" spans="1:14" s="1353" customFormat="1" ht="29">
      <c r="A317" s="1601">
        <v>310</v>
      </c>
      <c r="B317" s="1602" t="s">
        <v>5029</v>
      </c>
      <c r="C317" s="1856" t="s">
        <v>1171</v>
      </c>
      <c r="D317" s="1603" t="s">
        <v>604</v>
      </c>
      <c r="E317" s="1603" t="s">
        <v>788</v>
      </c>
      <c r="F317" s="1601" t="s">
        <v>4904</v>
      </c>
      <c r="G317" s="1601">
        <v>18</v>
      </c>
      <c r="H317" s="1601" t="s">
        <v>944</v>
      </c>
      <c r="I317" s="1596"/>
      <c r="J317" s="1596" t="s">
        <v>965</v>
      </c>
      <c r="K317" s="1596" t="s">
        <v>977</v>
      </c>
      <c r="L317" s="1603" t="s">
        <v>5027</v>
      </c>
      <c r="M317" s="1604">
        <v>44539</v>
      </c>
    </row>
    <row r="318" spans="1:14" s="1353" customFormat="1" ht="29">
      <c r="A318" s="1601">
        <v>311</v>
      </c>
      <c r="B318" s="1602" t="s">
        <v>1033</v>
      </c>
      <c r="C318" s="1856" t="s">
        <v>1166</v>
      </c>
      <c r="D318" s="1603" t="s">
        <v>604</v>
      </c>
      <c r="E318" s="1603" t="s">
        <v>788</v>
      </c>
      <c r="F318" s="1601" t="s">
        <v>4904</v>
      </c>
      <c r="G318" s="1601">
        <v>18</v>
      </c>
      <c r="H318" s="1601" t="s">
        <v>944</v>
      </c>
      <c r="I318" s="1596"/>
      <c r="J318" s="1596" t="s">
        <v>965</v>
      </c>
      <c r="K318" s="1596" t="s">
        <v>977</v>
      </c>
      <c r="L318" s="1603" t="s">
        <v>5027</v>
      </c>
      <c r="M318" s="1604">
        <v>44539</v>
      </c>
    </row>
    <row r="319" spans="1:14" s="1353" customFormat="1" ht="29">
      <c r="A319" s="1601">
        <v>312</v>
      </c>
      <c r="B319" s="1602" t="s">
        <v>996</v>
      </c>
      <c r="C319" s="1857" t="s">
        <v>1143</v>
      </c>
      <c r="D319" s="1603" t="s">
        <v>604</v>
      </c>
      <c r="E319" s="1603" t="s">
        <v>788</v>
      </c>
      <c r="F319" s="1601" t="s">
        <v>4904</v>
      </c>
      <c r="G319" s="1601">
        <v>18</v>
      </c>
      <c r="H319" s="1601" t="s">
        <v>944</v>
      </c>
      <c r="I319" s="1596"/>
      <c r="J319" s="1596" t="s">
        <v>965</v>
      </c>
      <c r="K319" s="1596" t="s">
        <v>977</v>
      </c>
      <c r="L319" s="1603" t="s">
        <v>5027</v>
      </c>
      <c r="M319" s="1604">
        <v>44539</v>
      </c>
    </row>
    <row r="320" spans="1:14" s="1353" customFormat="1" ht="29">
      <c r="A320" s="1601">
        <v>313</v>
      </c>
      <c r="B320" s="1602" t="s">
        <v>1036</v>
      </c>
      <c r="C320" s="1856" t="s">
        <v>1168</v>
      </c>
      <c r="D320" s="1603" t="s">
        <v>604</v>
      </c>
      <c r="E320" s="1603" t="s">
        <v>788</v>
      </c>
      <c r="F320" s="1601" t="s">
        <v>4904</v>
      </c>
      <c r="G320" s="1601">
        <v>18</v>
      </c>
      <c r="H320" s="1601" t="s">
        <v>944</v>
      </c>
      <c r="I320" s="1596"/>
      <c r="J320" s="1596" t="s">
        <v>965</v>
      </c>
      <c r="K320" s="1596" t="s">
        <v>977</v>
      </c>
      <c r="L320" s="1603" t="s">
        <v>5027</v>
      </c>
      <c r="M320" s="1604">
        <v>44539</v>
      </c>
    </row>
    <row r="321" spans="1:14" s="1353" customFormat="1" ht="29">
      <c r="A321" s="1601">
        <v>314</v>
      </c>
      <c r="B321" s="1602" t="s">
        <v>1036</v>
      </c>
      <c r="C321" s="1856" t="s">
        <v>1170</v>
      </c>
      <c r="D321" s="1603" t="s">
        <v>604</v>
      </c>
      <c r="E321" s="1603" t="s">
        <v>788</v>
      </c>
      <c r="F321" s="1601" t="s">
        <v>4904</v>
      </c>
      <c r="G321" s="1601">
        <v>18</v>
      </c>
      <c r="H321" s="1601" t="s">
        <v>944</v>
      </c>
      <c r="I321" s="1596"/>
      <c r="J321" s="1596" t="s">
        <v>965</v>
      </c>
      <c r="K321" s="1596" t="s">
        <v>977</v>
      </c>
      <c r="L321" s="1603" t="s">
        <v>5027</v>
      </c>
      <c r="M321" s="1604">
        <v>44539</v>
      </c>
    </row>
    <row r="322" spans="1:14" s="1353" customFormat="1" ht="29">
      <c r="A322" s="1601">
        <v>315</v>
      </c>
      <c r="B322" s="1602" t="s">
        <v>993</v>
      </c>
      <c r="C322" s="1856" t="s">
        <v>1137</v>
      </c>
      <c r="D322" s="1603" t="s">
        <v>604</v>
      </c>
      <c r="E322" s="1603" t="s">
        <v>788</v>
      </c>
      <c r="F322" s="1601" t="s">
        <v>4904</v>
      </c>
      <c r="G322" s="1601">
        <v>18</v>
      </c>
      <c r="H322" s="1601" t="s">
        <v>944</v>
      </c>
      <c r="I322" s="1596"/>
      <c r="J322" s="1596" t="s">
        <v>965</v>
      </c>
      <c r="K322" s="1596" t="s">
        <v>977</v>
      </c>
      <c r="L322" s="1603" t="s">
        <v>5027</v>
      </c>
      <c r="M322" s="1604">
        <v>44539</v>
      </c>
    </row>
    <row r="323" spans="1:14" s="1353" customFormat="1" ht="29">
      <c r="A323" s="1601">
        <v>316</v>
      </c>
      <c r="B323" s="1602" t="s">
        <v>1003</v>
      </c>
      <c r="C323" s="1856" t="s">
        <v>1147</v>
      </c>
      <c r="D323" s="1603" t="s">
        <v>604</v>
      </c>
      <c r="E323" s="1603" t="s">
        <v>788</v>
      </c>
      <c r="F323" s="1601" t="s">
        <v>4904</v>
      </c>
      <c r="G323" s="1601">
        <v>18</v>
      </c>
      <c r="H323" s="1601" t="s">
        <v>944</v>
      </c>
      <c r="I323" s="1596"/>
      <c r="J323" s="1596" t="s">
        <v>965</v>
      </c>
      <c r="K323" s="1596" t="s">
        <v>977</v>
      </c>
      <c r="L323" s="1603" t="s">
        <v>5027</v>
      </c>
      <c r="M323" s="1604">
        <v>44539</v>
      </c>
    </row>
    <row r="324" spans="1:14" s="1353" customFormat="1" ht="29">
      <c r="A324" s="1601">
        <v>317</v>
      </c>
      <c r="B324" s="1602" t="s">
        <v>1008</v>
      </c>
      <c r="C324" s="1857" t="s">
        <v>1150</v>
      </c>
      <c r="D324" s="1603" t="s">
        <v>604</v>
      </c>
      <c r="E324" s="1603" t="s">
        <v>788</v>
      </c>
      <c r="F324" s="1601" t="s">
        <v>4904</v>
      </c>
      <c r="G324" s="1601">
        <v>18</v>
      </c>
      <c r="H324" s="1601" t="s">
        <v>944</v>
      </c>
      <c r="I324" s="1596"/>
      <c r="J324" s="1596" t="s">
        <v>965</v>
      </c>
      <c r="K324" s="1596" t="s">
        <v>977</v>
      </c>
      <c r="L324" s="1603" t="s">
        <v>5027</v>
      </c>
      <c r="M324" s="1604">
        <v>44539</v>
      </c>
    </row>
    <row r="325" spans="1:14" s="1353" customFormat="1" ht="29">
      <c r="A325" s="1601">
        <v>318</v>
      </c>
      <c r="B325" s="1602" t="s">
        <v>982</v>
      </c>
      <c r="C325" s="1856" t="s">
        <v>1128</v>
      </c>
      <c r="D325" s="1603" t="s">
        <v>604</v>
      </c>
      <c r="E325" s="1603" t="s">
        <v>788</v>
      </c>
      <c r="F325" s="1601" t="s">
        <v>4904</v>
      </c>
      <c r="G325" s="1601">
        <v>18</v>
      </c>
      <c r="H325" s="1601" t="s">
        <v>944</v>
      </c>
      <c r="I325" s="1596"/>
      <c r="J325" s="1596" t="s">
        <v>965</v>
      </c>
      <c r="K325" s="1596" t="s">
        <v>977</v>
      </c>
      <c r="L325" s="1603" t="s">
        <v>5027</v>
      </c>
      <c r="M325" s="1604">
        <v>44539</v>
      </c>
    </row>
    <row r="326" spans="1:14" s="1353" customFormat="1" ht="29">
      <c r="A326" s="1601">
        <v>319</v>
      </c>
      <c r="B326" s="1602" t="s">
        <v>1012</v>
      </c>
      <c r="C326" s="1856" t="s">
        <v>1153</v>
      </c>
      <c r="D326" s="1603" t="s">
        <v>604</v>
      </c>
      <c r="E326" s="1603" t="s">
        <v>788</v>
      </c>
      <c r="F326" s="1601" t="s">
        <v>4904</v>
      </c>
      <c r="G326" s="1601">
        <v>18</v>
      </c>
      <c r="H326" s="1601" t="s">
        <v>944</v>
      </c>
      <c r="I326" s="1596"/>
      <c r="J326" s="1596" t="s">
        <v>965</v>
      </c>
      <c r="K326" s="1596" t="s">
        <v>977</v>
      </c>
      <c r="L326" s="1603" t="s">
        <v>5027</v>
      </c>
      <c r="M326" s="1604">
        <v>44539</v>
      </c>
    </row>
    <row r="327" spans="1:14" s="1356" customFormat="1" ht="29">
      <c r="A327" s="1601">
        <v>320</v>
      </c>
      <c r="B327" s="1602" t="s">
        <v>1015</v>
      </c>
      <c r="C327" s="1856" t="s">
        <v>1156</v>
      </c>
      <c r="D327" s="1603" t="s">
        <v>604</v>
      </c>
      <c r="E327" s="1603" t="s">
        <v>788</v>
      </c>
      <c r="F327" s="1601" t="s">
        <v>4904</v>
      </c>
      <c r="G327" s="1601">
        <v>18</v>
      </c>
      <c r="H327" s="1601" t="s">
        <v>944</v>
      </c>
      <c r="I327" s="1596"/>
      <c r="J327" s="1596" t="s">
        <v>965</v>
      </c>
      <c r="K327" s="1596" t="s">
        <v>977</v>
      </c>
      <c r="L327" s="1603" t="s">
        <v>5027</v>
      </c>
      <c r="M327" s="1604">
        <v>44539</v>
      </c>
      <c r="N327" s="1353"/>
    </row>
    <row r="328" spans="1:14" s="1353" customFormat="1" ht="43.5">
      <c r="A328" s="1601">
        <v>321</v>
      </c>
      <c r="B328" s="1602" t="s">
        <v>1033</v>
      </c>
      <c r="C328" s="1856" t="s">
        <v>1164</v>
      </c>
      <c r="D328" s="1603" t="s">
        <v>1163</v>
      </c>
      <c r="E328" s="1603" t="s">
        <v>788</v>
      </c>
      <c r="F328" s="1601" t="s">
        <v>4904</v>
      </c>
      <c r="G328" s="1601">
        <v>18</v>
      </c>
      <c r="H328" s="1601" t="s">
        <v>944</v>
      </c>
      <c r="I328" s="1596"/>
      <c r="J328" s="1596" t="s">
        <v>965</v>
      </c>
      <c r="K328" s="1596" t="s">
        <v>977</v>
      </c>
      <c r="L328" s="1603" t="s">
        <v>5030</v>
      </c>
      <c r="M328" s="1604">
        <v>44539</v>
      </c>
    </row>
    <row r="329" spans="1:14" s="1353" customFormat="1" ht="14.5">
      <c r="A329" s="1601">
        <v>322</v>
      </c>
      <c r="B329" s="1605" t="s">
        <v>990</v>
      </c>
      <c r="C329" s="1857" t="s">
        <v>2511</v>
      </c>
      <c r="D329" s="1605" t="s">
        <v>5031</v>
      </c>
      <c r="E329" s="1606" t="s">
        <v>4903</v>
      </c>
      <c r="F329" s="1607" t="s">
        <v>4904</v>
      </c>
      <c r="G329" s="1608">
        <v>87</v>
      </c>
      <c r="H329" s="1607" t="s">
        <v>949</v>
      </c>
      <c r="I329" s="1608" t="s">
        <v>968</v>
      </c>
      <c r="J329" s="1609">
        <v>84</v>
      </c>
      <c r="K329" s="1610" t="s">
        <v>4797</v>
      </c>
      <c r="L329" s="1606" t="s">
        <v>5024</v>
      </c>
      <c r="M329" s="1611">
        <v>44545</v>
      </c>
    </row>
    <row r="330" spans="1:14" s="1353" customFormat="1" ht="14.5">
      <c r="A330" s="1601">
        <v>323</v>
      </c>
      <c r="B330" s="1602" t="s">
        <v>990</v>
      </c>
      <c r="C330" s="1856" t="s">
        <v>2511</v>
      </c>
      <c r="D330" s="1602" t="s">
        <v>5031</v>
      </c>
      <c r="E330" s="1603" t="s">
        <v>4903</v>
      </c>
      <c r="F330" s="1601" t="s">
        <v>4904</v>
      </c>
      <c r="G330" s="1601">
        <v>87</v>
      </c>
      <c r="H330" s="1601" t="s">
        <v>949</v>
      </c>
      <c r="I330" s="1601" t="s">
        <v>980</v>
      </c>
      <c r="J330" s="1612">
        <v>83.2</v>
      </c>
      <c r="K330" s="1596" t="s">
        <v>4797</v>
      </c>
      <c r="L330" s="1603" t="s">
        <v>5024</v>
      </c>
      <c r="M330" s="1604">
        <v>44545</v>
      </c>
    </row>
    <row r="331" spans="1:14" s="1353" customFormat="1" ht="14.5">
      <c r="A331" s="1601">
        <v>324</v>
      </c>
      <c r="B331" s="1602" t="s">
        <v>990</v>
      </c>
      <c r="C331" s="1856" t="s">
        <v>2511</v>
      </c>
      <c r="D331" s="1602" t="s">
        <v>5031</v>
      </c>
      <c r="E331" s="1603" t="s">
        <v>4903</v>
      </c>
      <c r="F331" s="1601" t="s">
        <v>4904</v>
      </c>
      <c r="G331" s="1601">
        <v>87</v>
      </c>
      <c r="H331" s="1601" t="s">
        <v>949</v>
      </c>
      <c r="I331" s="1601" t="s">
        <v>985</v>
      </c>
      <c r="J331" s="1612">
        <v>82</v>
      </c>
      <c r="K331" s="1596" t="s">
        <v>4797</v>
      </c>
      <c r="L331" s="1603" t="s">
        <v>5024</v>
      </c>
      <c r="M331" s="1604">
        <v>44545</v>
      </c>
    </row>
    <row r="332" spans="1:14" s="1353" customFormat="1" ht="14.5">
      <c r="A332" s="1601">
        <v>325</v>
      </c>
      <c r="B332" s="1602" t="s">
        <v>990</v>
      </c>
      <c r="C332" s="1856" t="s">
        <v>2511</v>
      </c>
      <c r="D332" s="1602" t="s">
        <v>5031</v>
      </c>
      <c r="E332" s="1603" t="s">
        <v>4903</v>
      </c>
      <c r="F332" s="1601" t="s">
        <v>4904</v>
      </c>
      <c r="G332" s="1601">
        <v>87</v>
      </c>
      <c r="H332" s="1601" t="s">
        <v>949</v>
      </c>
      <c r="I332" s="1601" t="s">
        <v>958</v>
      </c>
      <c r="J332" s="1612">
        <v>80.5</v>
      </c>
      <c r="K332" s="1596" t="s">
        <v>4797</v>
      </c>
      <c r="L332" s="1603" t="s">
        <v>5024</v>
      </c>
      <c r="M332" s="1604">
        <v>44545</v>
      </c>
    </row>
    <row r="333" spans="1:14" s="1353" customFormat="1" ht="14.5">
      <c r="A333" s="1601">
        <v>326</v>
      </c>
      <c r="B333" s="1613" t="s">
        <v>990</v>
      </c>
      <c r="C333" s="1857" t="s">
        <v>2511</v>
      </c>
      <c r="D333" s="1613" t="s">
        <v>5031</v>
      </c>
      <c r="E333" s="1614" t="s">
        <v>4903</v>
      </c>
      <c r="F333" s="1615" t="s">
        <v>4904</v>
      </c>
      <c r="G333" s="1608">
        <v>87</v>
      </c>
      <c r="H333" s="1615" t="s">
        <v>949</v>
      </c>
      <c r="I333" s="1608" t="s">
        <v>970</v>
      </c>
      <c r="J333" s="1616">
        <v>77.900000000000006</v>
      </c>
      <c r="K333" s="1617" t="s">
        <v>4797</v>
      </c>
      <c r="L333" s="1614" t="s">
        <v>5024</v>
      </c>
      <c r="M333" s="1618">
        <v>44545</v>
      </c>
    </row>
    <row r="334" spans="1:14" s="1353" customFormat="1" ht="29">
      <c r="A334" s="1601">
        <v>327</v>
      </c>
      <c r="B334" s="1602" t="s">
        <v>993</v>
      </c>
      <c r="C334" s="1670" t="s">
        <v>3489</v>
      </c>
      <c r="D334" s="1603" t="s">
        <v>687</v>
      </c>
      <c r="E334" s="1603" t="s">
        <v>788</v>
      </c>
      <c r="F334" s="1601" t="s">
        <v>4904</v>
      </c>
      <c r="G334" s="1601">
        <v>67</v>
      </c>
      <c r="H334" s="1602" t="s">
        <v>1857</v>
      </c>
      <c r="I334" s="1601" t="s">
        <v>968</v>
      </c>
      <c r="J334" s="1601">
        <v>2.35</v>
      </c>
      <c r="K334" s="1601">
        <v>2.56</v>
      </c>
      <c r="L334" s="1603" t="s">
        <v>5032</v>
      </c>
      <c r="M334" s="1604">
        <v>44547</v>
      </c>
    </row>
    <row r="335" spans="1:14" s="1353" customFormat="1" ht="29">
      <c r="A335" s="1601">
        <v>328</v>
      </c>
      <c r="B335" s="1602" t="s">
        <v>993</v>
      </c>
      <c r="C335" s="1670" t="s">
        <v>3489</v>
      </c>
      <c r="D335" s="1603" t="s">
        <v>687</v>
      </c>
      <c r="E335" s="1603" t="s">
        <v>788</v>
      </c>
      <c r="F335" s="1601" t="s">
        <v>4904</v>
      </c>
      <c r="G335" s="1601">
        <v>67</v>
      </c>
      <c r="H335" s="1602" t="s">
        <v>1857</v>
      </c>
      <c r="I335" s="1601" t="s">
        <v>980</v>
      </c>
      <c r="J335" s="1601">
        <v>2.35</v>
      </c>
      <c r="K335" s="1601">
        <v>2.56</v>
      </c>
      <c r="L335" s="1603" t="s">
        <v>5032</v>
      </c>
      <c r="M335" s="1604">
        <v>44547</v>
      </c>
    </row>
    <row r="336" spans="1:14" s="1353" customFormat="1" ht="29">
      <c r="A336" s="1601">
        <v>329</v>
      </c>
      <c r="B336" s="1602" t="s">
        <v>993</v>
      </c>
      <c r="C336" s="1670" t="s">
        <v>3489</v>
      </c>
      <c r="D336" s="1603" t="s">
        <v>687</v>
      </c>
      <c r="E336" s="1603" t="s">
        <v>788</v>
      </c>
      <c r="F336" s="1601" t="s">
        <v>4904</v>
      </c>
      <c r="G336" s="1601">
        <v>67</v>
      </c>
      <c r="H336" s="1602" t="s">
        <v>1857</v>
      </c>
      <c r="I336" s="1601" t="s">
        <v>985</v>
      </c>
      <c r="J336" s="1601">
        <v>2.35</v>
      </c>
      <c r="K336" s="1601">
        <v>2.56</v>
      </c>
      <c r="L336" s="1603" t="s">
        <v>5032</v>
      </c>
      <c r="M336" s="1604">
        <v>44547</v>
      </c>
    </row>
    <row r="337" spans="1:14" s="1353" customFormat="1" ht="29">
      <c r="A337" s="1601">
        <v>330</v>
      </c>
      <c r="B337" s="1602" t="s">
        <v>993</v>
      </c>
      <c r="C337" s="1670" t="s">
        <v>3489</v>
      </c>
      <c r="D337" s="1603" t="s">
        <v>687</v>
      </c>
      <c r="E337" s="1603" t="s">
        <v>788</v>
      </c>
      <c r="F337" s="1601" t="s">
        <v>4904</v>
      </c>
      <c r="G337" s="1601">
        <v>67</v>
      </c>
      <c r="H337" s="1602" t="s">
        <v>1857</v>
      </c>
      <c r="I337" s="1601" t="s">
        <v>958</v>
      </c>
      <c r="J337" s="1601">
        <v>2.35</v>
      </c>
      <c r="K337" s="1601">
        <v>2.56</v>
      </c>
      <c r="L337" s="1603" t="s">
        <v>5032</v>
      </c>
      <c r="M337" s="1604">
        <v>44547</v>
      </c>
    </row>
    <row r="338" spans="1:14" s="1353" customFormat="1" ht="29">
      <c r="A338" s="1601">
        <v>331</v>
      </c>
      <c r="B338" s="1602" t="s">
        <v>993</v>
      </c>
      <c r="C338" s="1670" t="s">
        <v>3489</v>
      </c>
      <c r="D338" s="1603" t="s">
        <v>687</v>
      </c>
      <c r="E338" s="1603" t="s">
        <v>788</v>
      </c>
      <c r="F338" s="1601" t="s">
        <v>4904</v>
      </c>
      <c r="G338" s="1601">
        <v>67</v>
      </c>
      <c r="H338" s="1602" t="s">
        <v>1857</v>
      </c>
      <c r="I338" s="1601" t="s">
        <v>970</v>
      </c>
      <c r="J338" s="1601">
        <v>2.35</v>
      </c>
      <c r="K338" s="1601">
        <v>2.56</v>
      </c>
      <c r="L338" s="1603" t="s">
        <v>5032</v>
      </c>
      <c r="M338" s="1604">
        <v>44547</v>
      </c>
    </row>
    <row r="339" spans="1:14" s="1353" customFormat="1" ht="29">
      <c r="A339" s="1601">
        <v>332</v>
      </c>
      <c r="B339" s="1602" t="s">
        <v>993</v>
      </c>
      <c r="C339" s="1670" t="s">
        <v>3489</v>
      </c>
      <c r="D339" s="1603" t="s">
        <v>687</v>
      </c>
      <c r="E339" s="1603" t="s">
        <v>788</v>
      </c>
      <c r="F339" s="1601" t="s">
        <v>4904</v>
      </c>
      <c r="G339" s="1601">
        <v>72</v>
      </c>
      <c r="H339" s="1602" t="s">
        <v>1858</v>
      </c>
      <c r="I339" s="1601" t="s">
        <v>968</v>
      </c>
      <c r="J339" s="1601">
        <v>2.56</v>
      </c>
      <c r="K339" s="1601">
        <v>2.35</v>
      </c>
      <c r="L339" s="1603" t="s">
        <v>5032</v>
      </c>
      <c r="M339" s="1604">
        <v>44547</v>
      </c>
    </row>
    <row r="340" spans="1:14" s="1353" customFormat="1" ht="29">
      <c r="A340" s="1601">
        <v>333</v>
      </c>
      <c r="B340" s="1602" t="s">
        <v>993</v>
      </c>
      <c r="C340" s="1670" t="s">
        <v>3489</v>
      </c>
      <c r="D340" s="1603" t="s">
        <v>687</v>
      </c>
      <c r="E340" s="1603" t="s">
        <v>788</v>
      </c>
      <c r="F340" s="1601" t="s">
        <v>4904</v>
      </c>
      <c r="G340" s="1601">
        <v>72</v>
      </c>
      <c r="H340" s="1602" t="s">
        <v>1858</v>
      </c>
      <c r="I340" s="1601" t="s">
        <v>980</v>
      </c>
      <c r="J340" s="1601">
        <v>2.56</v>
      </c>
      <c r="K340" s="1601">
        <v>2.35</v>
      </c>
      <c r="L340" s="1603" t="s">
        <v>5032</v>
      </c>
      <c r="M340" s="1604">
        <v>44547</v>
      </c>
    </row>
    <row r="341" spans="1:14" s="1353" customFormat="1" ht="29">
      <c r="A341" s="1601">
        <v>334</v>
      </c>
      <c r="B341" s="1602" t="s">
        <v>993</v>
      </c>
      <c r="C341" s="1670" t="s">
        <v>3489</v>
      </c>
      <c r="D341" s="1603" t="s">
        <v>687</v>
      </c>
      <c r="E341" s="1603" t="s">
        <v>788</v>
      </c>
      <c r="F341" s="1601" t="s">
        <v>4904</v>
      </c>
      <c r="G341" s="1601">
        <v>72</v>
      </c>
      <c r="H341" s="1602" t="s">
        <v>1858</v>
      </c>
      <c r="I341" s="1601" t="s">
        <v>985</v>
      </c>
      <c r="J341" s="1601">
        <v>2.56</v>
      </c>
      <c r="K341" s="1601">
        <v>2.35</v>
      </c>
      <c r="L341" s="1603" t="s">
        <v>5032</v>
      </c>
      <c r="M341" s="1604">
        <v>44547</v>
      </c>
    </row>
    <row r="342" spans="1:14" s="1353" customFormat="1" ht="29">
      <c r="A342" s="1601">
        <v>335</v>
      </c>
      <c r="B342" s="1602" t="s">
        <v>993</v>
      </c>
      <c r="C342" s="1670" t="s">
        <v>3489</v>
      </c>
      <c r="D342" s="1603" t="s">
        <v>687</v>
      </c>
      <c r="E342" s="1603" t="s">
        <v>788</v>
      </c>
      <c r="F342" s="1601" t="s">
        <v>4904</v>
      </c>
      <c r="G342" s="1601">
        <v>72</v>
      </c>
      <c r="H342" s="1602" t="s">
        <v>1858</v>
      </c>
      <c r="I342" s="1601" t="s">
        <v>958</v>
      </c>
      <c r="J342" s="1601">
        <v>2.56</v>
      </c>
      <c r="K342" s="1601">
        <v>2.35</v>
      </c>
      <c r="L342" s="1603" t="s">
        <v>5032</v>
      </c>
      <c r="M342" s="1604">
        <v>44547</v>
      </c>
    </row>
    <row r="343" spans="1:14" s="1353" customFormat="1" ht="29">
      <c r="A343" s="1601">
        <v>336</v>
      </c>
      <c r="B343" s="1602" t="s">
        <v>993</v>
      </c>
      <c r="C343" s="1670" t="s">
        <v>3489</v>
      </c>
      <c r="D343" s="1603" t="s">
        <v>687</v>
      </c>
      <c r="E343" s="1603" t="s">
        <v>788</v>
      </c>
      <c r="F343" s="1601" t="s">
        <v>4904</v>
      </c>
      <c r="G343" s="1601">
        <v>72</v>
      </c>
      <c r="H343" s="1602" t="s">
        <v>1858</v>
      </c>
      <c r="I343" s="1601" t="s">
        <v>970</v>
      </c>
      <c r="J343" s="1601">
        <v>2.56</v>
      </c>
      <c r="K343" s="1601">
        <v>2.35</v>
      </c>
      <c r="L343" s="1603" t="s">
        <v>5032</v>
      </c>
      <c r="M343" s="1604">
        <v>44547</v>
      </c>
    </row>
    <row r="344" spans="1:14" s="1356" customFormat="1" ht="29">
      <c r="A344" s="1601">
        <v>337</v>
      </c>
      <c r="B344" s="1602" t="s">
        <v>972</v>
      </c>
      <c r="C344" s="1670" t="s">
        <v>4729</v>
      </c>
      <c r="D344" s="1603" t="s">
        <v>5033</v>
      </c>
      <c r="E344" s="1603" t="s">
        <v>4903</v>
      </c>
      <c r="F344" s="1601" t="s">
        <v>4904</v>
      </c>
      <c r="G344" s="1601">
        <v>97</v>
      </c>
      <c r="H344" s="1603" t="s">
        <v>1907</v>
      </c>
      <c r="I344" s="1601"/>
      <c r="J344" s="1601">
        <v>4.7699999999999996</v>
      </c>
      <c r="K344" s="1601">
        <v>4.7699999999999999E-2</v>
      </c>
      <c r="L344" s="1603" t="s">
        <v>5034</v>
      </c>
      <c r="M344" s="1604">
        <v>44579</v>
      </c>
      <c r="N344" s="1353"/>
    </row>
    <row r="345" spans="1:14" s="1353" customFormat="1" ht="72.5">
      <c r="A345" s="1601">
        <v>338</v>
      </c>
      <c r="B345" s="1602" t="s">
        <v>990</v>
      </c>
      <c r="C345" s="1670" t="s">
        <v>2702</v>
      </c>
      <c r="D345" s="1603" t="s">
        <v>5004</v>
      </c>
      <c r="E345" s="1603" t="s">
        <v>4903</v>
      </c>
      <c r="F345" s="1601" t="s">
        <v>4904</v>
      </c>
      <c r="G345" s="1601">
        <v>97</v>
      </c>
      <c r="H345" s="1603" t="s">
        <v>1908</v>
      </c>
      <c r="I345" s="1601"/>
      <c r="J345" s="1601">
        <v>-4.1700000000000001E-2</v>
      </c>
      <c r="K345" s="1601" t="s">
        <v>4906</v>
      </c>
      <c r="L345" s="1603" t="s">
        <v>5035</v>
      </c>
      <c r="M345" s="1604">
        <v>44582</v>
      </c>
    </row>
    <row r="346" spans="1:14" s="1356" customFormat="1" ht="43.5">
      <c r="A346" s="1601">
        <v>339</v>
      </c>
      <c r="B346" s="1602" t="s">
        <v>1015</v>
      </c>
      <c r="C346" s="1670" t="s">
        <v>4724</v>
      </c>
      <c r="D346" s="1603" t="s">
        <v>4725</v>
      </c>
      <c r="E346" s="1603" t="s">
        <v>4903</v>
      </c>
      <c r="F346" s="1601" t="s">
        <v>4904</v>
      </c>
      <c r="G346" s="1601">
        <v>41</v>
      </c>
      <c r="H346" s="1603" t="s">
        <v>1855</v>
      </c>
      <c r="I346" s="1601" t="s">
        <v>970</v>
      </c>
      <c r="J346" s="1601" t="s">
        <v>4906</v>
      </c>
      <c r="K346" s="1496" t="s">
        <v>4728</v>
      </c>
      <c r="L346" s="1603" t="s">
        <v>5036</v>
      </c>
      <c r="M346" s="1604">
        <v>44582</v>
      </c>
      <c r="N346" s="1353"/>
    </row>
    <row r="347" spans="1:14" s="1353" customFormat="1" ht="43.5">
      <c r="A347" s="1601">
        <v>340</v>
      </c>
      <c r="B347" s="1602" t="s">
        <v>990</v>
      </c>
      <c r="C347" s="1670" t="s">
        <v>1136</v>
      </c>
      <c r="D347" s="1603" t="s">
        <v>1135</v>
      </c>
      <c r="E347" s="1603" t="s">
        <v>4954</v>
      </c>
      <c r="F347" s="1601" t="s">
        <v>4904</v>
      </c>
      <c r="G347" s="1601">
        <v>20</v>
      </c>
      <c r="H347" s="1603" t="s">
        <v>1873</v>
      </c>
      <c r="I347" s="1601"/>
      <c r="J347" s="1601" t="s">
        <v>1030</v>
      </c>
      <c r="K347" s="1601" t="s">
        <v>991</v>
      </c>
      <c r="L347" s="1598" t="s">
        <v>5020</v>
      </c>
      <c r="M347" s="1604">
        <v>44589</v>
      </c>
    </row>
    <row r="348" spans="1:14" s="1353" customFormat="1" ht="43.5">
      <c r="A348" s="1601">
        <v>341</v>
      </c>
      <c r="B348" s="1597" t="s">
        <v>1008</v>
      </c>
      <c r="C348" s="1854" t="s">
        <v>5017</v>
      </c>
      <c r="D348" s="1598" t="s">
        <v>5018</v>
      </c>
      <c r="E348" s="1603" t="s">
        <v>4954</v>
      </c>
      <c r="F348" s="1596" t="s">
        <v>4904</v>
      </c>
      <c r="G348" s="1601">
        <v>22</v>
      </c>
      <c r="H348" s="1603" t="s">
        <v>4956</v>
      </c>
      <c r="I348" s="1601"/>
      <c r="J348" s="1601">
        <v>2</v>
      </c>
      <c r="K348" s="1601">
        <v>3</v>
      </c>
      <c r="L348" s="1598" t="s">
        <v>5037</v>
      </c>
      <c r="M348" s="1604">
        <v>44589</v>
      </c>
    </row>
    <row r="349" spans="1:14" s="1353" customFormat="1" ht="43.5">
      <c r="A349" s="1601">
        <v>342</v>
      </c>
      <c r="B349" s="1602" t="s">
        <v>990</v>
      </c>
      <c r="C349" s="1854" t="s">
        <v>2711</v>
      </c>
      <c r="D349" s="1598" t="s">
        <v>2172</v>
      </c>
      <c r="E349" s="1603" t="s">
        <v>4954</v>
      </c>
      <c r="F349" s="1601" t="s">
        <v>4904</v>
      </c>
      <c r="G349" s="1601">
        <v>62</v>
      </c>
      <c r="H349" s="1603" t="s">
        <v>956</v>
      </c>
      <c r="I349" s="1601" t="s">
        <v>968</v>
      </c>
      <c r="J349" s="1601" t="s">
        <v>961</v>
      </c>
      <c r="K349" s="1601"/>
      <c r="L349" s="1598" t="s">
        <v>5038</v>
      </c>
      <c r="M349" s="1604">
        <v>44592</v>
      </c>
    </row>
    <row r="350" spans="1:14" s="1353" customFormat="1" ht="43.5">
      <c r="A350" s="1601">
        <v>343</v>
      </c>
      <c r="B350" s="1602" t="s">
        <v>990</v>
      </c>
      <c r="C350" s="1854" t="s">
        <v>2711</v>
      </c>
      <c r="D350" s="1598" t="s">
        <v>2172</v>
      </c>
      <c r="E350" s="1603" t="s">
        <v>4954</v>
      </c>
      <c r="F350" s="1596" t="s">
        <v>4904</v>
      </c>
      <c r="G350" s="1601">
        <v>62</v>
      </c>
      <c r="H350" s="1603" t="s">
        <v>956</v>
      </c>
      <c r="I350" s="1601" t="s">
        <v>980</v>
      </c>
      <c r="J350" s="1601" t="s">
        <v>961</v>
      </c>
      <c r="K350" s="1601"/>
      <c r="L350" s="1598" t="s">
        <v>5038</v>
      </c>
      <c r="M350" s="1604">
        <v>44592</v>
      </c>
    </row>
    <row r="351" spans="1:14" s="1353" customFormat="1" ht="43.5">
      <c r="A351" s="1601">
        <v>344</v>
      </c>
      <c r="B351" s="1602" t="s">
        <v>990</v>
      </c>
      <c r="C351" s="1854" t="s">
        <v>2711</v>
      </c>
      <c r="D351" s="1598" t="s">
        <v>2172</v>
      </c>
      <c r="E351" s="1603" t="s">
        <v>4954</v>
      </c>
      <c r="F351" s="1601" t="s">
        <v>4904</v>
      </c>
      <c r="G351" s="1601">
        <v>62</v>
      </c>
      <c r="H351" s="1603" t="s">
        <v>956</v>
      </c>
      <c r="I351" s="1601" t="s">
        <v>985</v>
      </c>
      <c r="J351" s="1601" t="s">
        <v>961</v>
      </c>
      <c r="K351" s="1601"/>
      <c r="L351" s="1598" t="s">
        <v>5038</v>
      </c>
      <c r="M351" s="1604">
        <v>44592</v>
      </c>
    </row>
    <row r="352" spans="1:14" s="1353" customFormat="1" ht="43.5">
      <c r="A352" s="1601">
        <v>345</v>
      </c>
      <c r="B352" s="1602" t="s">
        <v>990</v>
      </c>
      <c r="C352" s="1854" t="s">
        <v>2711</v>
      </c>
      <c r="D352" s="1598" t="s">
        <v>2172</v>
      </c>
      <c r="E352" s="1603" t="s">
        <v>4954</v>
      </c>
      <c r="F352" s="1596" t="s">
        <v>4904</v>
      </c>
      <c r="G352" s="1601">
        <v>62</v>
      </c>
      <c r="H352" s="1603" t="s">
        <v>956</v>
      </c>
      <c r="I352" s="1601" t="s">
        <v>958</v>
      </c>
      <c r="J352" s="1601" t="s">
        <v>961</v>
      </c>
      <c r="K352" s="1601"/>
      <c r="L352" s="1598" t="s">
        <v>5038</v>
      </c>
      <c r="M352" s="1604">
        <v>44592</v>
      </c>
    </row>
    <row r="353" spans="1:13" s="1353" customFormat="1" ht="14.5">
      <c r="A353" s="1601">
        <v>346</v>
      </c>
      <c r="B353" s="1602" t="s">
        <v>972</v>
      </c>
      <c r="C353" s="1854" t="s">
        <v>1127</v>
      </c>
      <c r="D353" s="1598" t="s">
        <v>1126</v>
      </c>
      <c r="E353" s="1603" t="s">
        <v>5039</v>
      </c>
      <c r="F353" s="1601" t="s">
        <v>4904</v>
      </c>
      <c r="G353" s="1601">
        <v>41</v>
      </c>
      <c r="H353" s="1603" t="s">
        <v>1855</v>
      </c>
      <c r="I353" s="1601" t="s">
        <v>970</v>
      </c>
      <c r="J353" s="1601">
        <v>382.4</v>
      </c>
      <c r="K353" s="1601">
        <v>469.4</v>
      </c>
      <c r="L353" s="1598" t="s">
        <v>5040</v>
      </c>
      <c r="M353" s="1604">
        <v>44596</v>
      </c>
    </row>
    <row r="354" spans="1:13" s="1353" customFormat="1" ht="29">
      <c r="A354" s="1601">
        <v>347</v>
      </c>
      <c r="B354" s="1602" t="s">
        <v>972</v>
      </c>
      <c r="C354" s="1854" t="s">
        <v>1127</v>
      </c>
      <c r="D354" s="1598" t="s">
        <v>1126</v>
      </c>
      <c r="E354" s="1603" t="s">
        <v>5039</v>
      </c>
      <c r="F354" s="1596" t="s">
        <v>4904</v>
      </c>
      <c r="G354" s="1601">
        <v>97</v>
      </c>
      <c r="H354" s="1603" t="s">
        <v>1907</v>
      </c>
      <c r="I354" s="1601"/>
      <c r="J354" s="1619">
        <v>-0.46</v>
      </c>
      <c r="K354" s="1601">
        <v>-0.45900000000000002</v>
      </c>
      <c r="L354" s="1598" t="s">
        <v>5040</v>
      </c>
      <c r="M354" s="1604">
        <v>44596</v>
      </c>
    </row>
    <row r="355" spans="1:13" s="1353" customFormat="1" ht="14.5">
      <c r="A355" s="1601">
        <v>348</v>
      </c>
      <c r="B355" s="1602" t="s">
        <v>1015</v>
      </c>
      <c r="C355" s="1854" t="s">
        <v>4724</v>
      </c>
      <c r="D355" s="1598" t="s">
        <v>4725</v>
      </c>
      <c r="E355" s="1603" t="s">
        <v>4903</v>
      </c>
      <c r="F355" s="1596" t="s">
        <v>4904</v>
      </c>
      <c r="G355" s="1601">
        <v>17</v>
      </c>
      <c r="H355" s="1603" t="s">
        <v>943</v>
      </c>
      <c r="I355" s="1601" t="s">
        <v>1037</v>
      </c>
      <c r="J355" s="1619" t="s">
        <v>976</v>
      </c>
      <c r="K355" s="1601" t="s">
        <v>964</v>
      </c>
      <c r="L355" s="1598" t="s">
        <v>5041</v>
      </c>
      <c r="M355" s="1604">
        <v>44596</v>
      </c>
    </row>
    <row r="356" spans="1:13" s="1353" customFormat="1" ht="14.5">
      <c r="A356" s="1601">
        <v>349</v>
      </c>
      <c r="B356" s="1602" t="s">
        <v>1015</v>
      </c>
      <c r="C356" s="1854" t="s">
        <v>4724</v>
      </c>
      <c r="D356" s="1598" t="s">
        <v>4725</v>
      </c>
      <c r="E356" s="1603" t="s">
        <v>4903</v>
      </c>
      <c r="F356" s="1596" t="s">
        <v>4904</v>
      </c>
      <c r="G356" s="1601">
        <v>22</v>
      </c>
      <c r="H356" s="1603" t="s">
        <v>132</v>
      </c>
      <c r="I356" s="1601" t="s">
        <v>1037</v>
      </c>
      <c r="J356" s="1620">
        <v>3</v>
      </c>
      <c r="K356" s="1601">
        <v>1</v>
      </c>
      <c r="L356" s="1598" t="s">
        <v>5041</v>
      </c>
      <c r="M356" s="1604">
        <v>44596</v>
      </c>
    </row>
    <row r="357" spans="1:13" s="1353" customFormat="1" ht="14.5">
      <c r="A357" s="1601">
        <v>350</v>
      </c>
      <c r="B357" s="1602" t="s">
        <v>1008</v>
      </c>
      <c r="C357" s="1854" t="s">
        <v>5042</v>
      </c>
      <c r="D357" s="1598" t="s">
        <v>4075</v>
      </c>
      <c r="E357" s="1603" t="s">
        <v>788</v>
      </c>
      <c r="F357" s="1596" t="s">
        <v>4904</v>
      </c>
      <c r="G357" s="1601">
        <v>72</v>
      </c>
      <c r="H357" s="1603" t="s">
        <v>1858</v>
      </c>
      <c r="I357" s="1601" t="s">
        <v>968</v>
      </c>
      <c r="J357" s="1601">
        <v>9</v>
      </c>
      <c r="K357" s="1601"/>
      <c r="L357" s="1598" t="s">
        <v>5043</v>
      </c>
      <c r="M357" s="1604">
        <v>44613</v>
      </c>
    </row>
    <row r="358" spans="1:13" s="1353" customFormat="1" ht="14.5">
      <c r="A358" s="1601">
        <v>351</v>
      </c>
      <c r="B358" s="1602" t="s">
        <v>1008</v>
      </c>
      <c r="C358" s="1854" t="s">
        <v>5042</v>
      </c>
      <c r="D358" s="1598" t="s">
        <v>4075</v>
      </c>
      <c r="E358" s="1603" t="s">
        <v>788</v>
      </c>
      <c r="F358" s="1596" t="s">
        <v>4904</v>
      </c>
      <c r="G358" s="1601">
        <v>72</v>
      </c>
      <c r="H358" s="1603" t="s">
        <v>1858</v>
      </c>
      <c r="I358" s="1601" t="s">
        <v>980</v>
      </c>
      <c r="J358" s="1601">
        <v>5.75</v>
      </c>
      <c r="K358" s="1601"/>
      <c r="L358" s="1598" t="s">
        <v>5043</v>
      </c>
      <c r="M358" s="1604">
        <v>44613</v>
      </c>
    </row>
    <row r="359" spans="1:13" s="1353" customFormat="1" ht="14.5">
      <c r="A359" s="1601">
        <v>352</v>
      </c>
      <c r="B359" s="1602" t="s">
        <v>1008</v>
      </c>
      <c r="C359" s="1854" t="s">
        <v>5042</v>
      </c>
      <c r="D359" s="1598" t="s">
        <v>4075</v>
      </c>
      <c r="E359" s="1603" t="s">
        <v>788</v>
      </c>
      <c r="F359" s="1596" t="s">
        <v>4904</v>
      </c>
      <c r="G359" s="1601">
        <v>72</v>
      </c>
      <c r="H359" s="1603" t="s">
        <v>1858</v>
      </c>
      <c r="I359" s="1601" t="s">
        <v>985</v>
      </c>
      <c r="J359" s="1601">
        <v>4</v>
      </c>
      <c r="K359" s="1601"/>
      <c r="L359" s="1598" t="s">
        <v>5043</v>
      </c>
      <c r="M359" s="1604">
        <v>44613</v>
      </c>
    </row>
    <row r="360" spans="1:13" s="1353" customFormat="1" ht="14.5">
      <c r="A360" s="1601">
        <v>353</v>
      </c>
      <c r="B360" s="1602" t="s">
        <v>1008</v>
      </c>
      <c r="C360" s="1854" t="s">
        <v>5042</v>
      </c>
      <c r="D360" s="1598" t="s">
        <v>4075</v>
      </c>
      <c r="E360" s="1603" t="s">
        <v>788</v>
      </c>
      <c r="F360" s="1596" t="s">
        <v>4904</v>
      </c>
      <c r="G360" s="1601">
        <v>72</v>
      </c>
      <c r="H360" s="1603" t="s">
        <v>1858</v>
      </c>
      <c r="I360" s="1601" t="s">
        <v>958</v>
      </c>
      <c r="J360" s="1601">
        <v>4</v>
      </c>
      <c r="K360" s="1601"/>
      <c r="L360" s="1598" t="s">
        <v>5043</v>
      </c>
      <c r="M360" s="1604">
        <v>44613</v>
      </c>
    </row>
    <row r="361" spans="1:13" s="1353" customFormat="1" ht="14.5">
      <c r="A361" s="1601">
        <v>354</v>
      </c>
      <c r="B361" s="1602" t="s">
        <v>1008</v>
      </c>
      <c r="C361" s="1854" t="s">
        <v>5042</v>
      </c>
      <c r="D361" s="1598" t="s">
        <v>4075</v>
      </c>
      <c r="E361" s="1603" t="s">
        <v>788</v>
      </c>
      <c r="F361" s="1596" t="s">
        <v>4904</v>
      </c>
      <c r="G361" s="1601">
        <v>72</v>
      </c>
      <c r="H361" s="1603" t="s">
        <v>1858</v>
      </c>
      <c r="I361" s="1601" t="s">
        <v>970</v>
      </c>
      <c r="J361" s="1601">
        <v>9</v>
      </c>
      <c r="K361" s="1601"/>
      <c r="L361" s="1598" t="s">
        <v>5043</v>
      </c>
      <c r="M361" s="1604">
        <v>44613</v>
      </c>
    </row>
    <row r="362" spans="1:13" s="1353" customFormat="1" ht="43.5">
      <c r="A362" s="1601">
        <v>355</v>
      </c>
      <c r="B362" s="1602" t="s">
        <v>982</v>
      </c>
      <c r="C362" s="1854" t="s">
        <v>4271</v>
      </c>
      <c r="D362" s="1598" t="s">
        <v>4273</v>
      </c>
      <c r="E362" s="1603" t="s">
        <v>4954</v>
      </c>
      <c r="F362" s="1596" t="s">
        <v>4904</v>
      </c>
      <c r="G362" s="1601">
        <v>41</v>
      </c>
      <c r="H362" s="1603" t="s">
        <v>1855</v>
      </c>
      <c r="I362" s="1601" t="s">
        <v>968</v>
      </c>
      <c r="J362" s="1601">
        <v>86.5</v>
      </c>
      <c r="K362" s="1603" t="s">
        <v>2352</v>
      </c>
      <c r="L362" s="1598" t="s">
        <v>5044</v>
      </c>
      <c r="M362" s="1604">
        <v>44629</v>
      </c>
    </row>
    <row r="363" spans="1:13" s="1353" customFormat="1" ht="43.5">
      <c r="A363" s="1601">
        <v>356</v>
      </c>
      <c r="B363" s="1602" t="s">
        <v>982</v>
      </c>
      <c r="C363" s="1854" t="s">
        <v>4271</v>
      </c>
      <c r="D363" s="1598" t="s">
        <v>4273</v>
      </c>
      <c r="E363" s="1603" t="s">
        <v>4954</v>
      </c>
      <c r="F363" s="1596" t="s">
        <v>4904</v>
      </c>
      <c r="G363" s="1601">
        <v>41</v>
      </c>
      <c r="H363" s="1603" t="s">
        <v>1855</v>
      </c>
      <c r="I363" s="1601" t="s">
        <v>980</v>
      </c>
      <c r="J363" s="1601">
        <v>287.89999999999998</v>
      </c>
      <c r="K363" s="1603" t="s">
        <v>2353</v>
      </c>
      <c r="L363" s="1598" t="s">
        <v>5044</v>
      </c>
      <c r="M363" s="1604">
        <v>44629</v>
      </c>
    </row>
    <row r="364" spans="1:13" s="1353" customFormat="1" ht="43.5">
      <c r="A364" s="1601">
        <v>357</v>
      </c>
      <c r="B364" s="1602" t="s">
        <v>982</v>
      </c>
      <c r="C364" s="1854" t="s">
        <v>4271</v>
      </c>
      <c r="D364" s="1598" t="s">
        <v>4273</v>
      </c>
      <c r="E364" s="1603" t="s">
        <v>4954</v>
      </c>
      <c r="F364" s="1596" t="s">
        <v>4904</v>
      </c>
      <c r="G364" s="1601">
        <v>41</v>
      </c>
      <c r="H364" s="1603" t="s">
        <v>1855</v>
      </c>
      <c r="I364" s="1601" t="s">
        <v>985</v>
      </c>
      <c r="J364" s="1601">
        <v>259.10000000000002</v>
      </c>
      <c r="K364" s="1603" t="s">
        <v>2354</v>
      </c>
      <c r="L364" s="1598" t="s">
        <v>5044</v>
      </c>
      <c r="M364" s="1604">
        <v>44629</v>
      </c>
    </row>
    <row r="365" spans="1:13" s="1353" customFormat="1" ht="43.5">
      <c r="A365" s="1601">
        <v>358</v>
      </c>
      <c r="B365" s="1602" t="s">
        <v>982</v>
      </c>
      <c r="C365" s="1854" t="s">
        <v>4271</v>
      </c>
      <c r="D365" s="1598" t="s">
        <v>4273</v>
      </c>
      <c r="E365" s="1603" t="s">
        <v>4954</v>
      </c>
      <c r="F365" s="1596" t="s">
        <v>4904</v>
      </c>
      <c r="G365" s="1601">
        <v>41</v>
      </c>
      <c r="H365" s="1603" t="s">
        <v>1855</v>
      </c>
      <c r="I365" s="1601" t="s">
        <v>958</v>
      </c>
      <c r="J365" s="1601">
        <v>233.2</v>
      </c>
      <c r="K365" s="1603" t="s">
        <v>2355</v>
      </c>
      <c r="L365" s="1598" t="s">
        <v>5044</v>
      </c>
      <c r="M365" s="1604">
        <v>44629</v>
      </c>
    </row>
    <row r="366" spans="1:13" s="1353" customFormat="1" ht="43.5">
      <c r="A366" s="1601">
        <v>359</v>
      </c>
      <c r="B366" s="1602" t="s">
        <v>982</v>
      </c>
      <c r="C366" s="1854" t="s">
        <v>4271</v>
      </c>
      <c r="D366" s="1598" t="s">
        <v>4273</v>
      </c>
      <c r="E366" s="1603" t="s">
        <v>4954</v>
      </c>
      <c r="F366" s="1596" t="s">
        <v>4904</v>
      </c>
      <c r="G366" s="1601">
        <v>41</v>
      </c>
      <c r="H366" s="1603" t="s">
        <v>1855</v>
      </c>
      <c r="I366" s="1601" t="s">
        <v>970</v>
      </c>
      <c r="J366" s="1601">
        <v>209.9</v>
      </c>
      <c r="K366" s="1603" t="s">
        <v>2356</v>
      </c>
      <c r="L366" s="1598" t="s">
        <v>5044</v>
      </c>
      <c r="M366" s="1604">
        <v>44629</v>
      </c>
    </row>
    <row r="367" spans="1:13" s="1353" customFormat="1" ht="58">
      <c r="A367" s="1601">
        <v>360</v>
      </c>
      <c r="B367" s="1603" t="s">
        <v>5045</v>
      </c>
      <c r="C367" s="1854"/>
      <c r="D367" s="1598" t="s">
        <v>5046</v>
      </c>
      <c r="E367" s="1603" t="s">
        <v>788</v>
      </c>
      <c r="F367" s="1596" t="s">
        <v>4904</v>
      </c>
      <c r="G367" s="1661" t="s">
        <v>5047</v>
      </c>
      <c r="H367" s="1601" t="s">
        <v>5047</v>
      </c>
      <c r="I367" s="1601" t="s">
        <v>4962</v>
      </c>
      <c r="J367" s="1661" t="s">
        <v>5048</v>
      </c>
      <c r="K367" s="1601"/>
      <c r="L367" s="1598" t="s">
        <v>5049</v>
      </c>
      <c r="M367" s="1774">
        <v>44634</v>
      </c>
    </row>
    <row r="368" spans="1:13" s="1353" customFormat="1" ht="43.5">
      <c r="A368" s="1601">
        <v>361</v>
      </c>
      <c r="B368" s="1602" t="s">
        <v>982</v>
      </c>
      <c r="C368" s="1597" t="s">
        <v>4186</v>
      </c>
      <c r="D368" s="1598" t="s">
        <v>4188</v>
      </c>
      <c r="E368" s="1603" t="s">
        <v>4954</v>
      </c>
      <c r="F368" s="1596" t="s">
        <v>4904</v>
      </c>
      <c r="G368" s="1661">
        <v>72</v>
      </c>
      <c r="H368" s="1603" t="s">
        <v>1858</v>
      </c>
      <c r="I368" s="1601" t="s">
        <v>968</v>
      </c>
      <c r="J368" s="1601">
        <v>4.47</v>
      </c>
      <c r="K368" s="1601">
        <v>4.4800000000000004</v>
      </c>
      <c r="L368" s="1598" t="s">
        <v>5020</v>
      </c>
      <c r="M368" s="1604">
        <v>44635</v>
      </c>
    </row>
    <row r="369" spans="1:13" s="1353" customFormat="1" ht="43.5">
      <c r="A369" s="1601">
        <v>362</v>
      </c>
      <c r="B369" s="1602" t="s">
        <v>982</v>
      </c>
      <c r="C369" s="1597" t="s">
        <v>4186</v>
      </c>
      <c r="D369" s="1598" t="s">
        <v>4188</v>
      </c>
      <c r="E369" s="1603" t="s">
        <v>4954</v>
      </c>
      <c r="F369" s="1596" t="s">
        <v>4904</v>
      </c>
      <c r="G369" s="1661">
        <v>72</v>
      </c>
      <c r="H369" s="1603" t="s">
        <v>1858</v>
      </c>
      <c r="I369" s="1601" t="s">
        <v>980</v>
      </c>
      <c r="J369" s="1601">
        <v>4.47</v>
      </c>
      <c r="K369" s="1601">
        <v>4.4800000000000004</v>
      </c>
      <c r="L369" s="1598" t="s">
        <v>5020</v>
      </c>
      <c r="M369" s="1604">
        <v>44635</v>
      </c>
    </row>
    <row r="370" spans="1:13" s="1353" customFormat="1" ht="43.5">
      <c r="A370" s="1601">
        <v>363</v>
      </c>
      <c r="B370" s="1602" t="s">
        <v>982</v>
      </c>
      <c r="C370" s="1597" t="s">
        <v>4186</v>
      </c>
      <c r="D370" s="1598" t="s">
        <v>4188</v>
      </c>
      <c r="E370" s="1603" t="s">
        <v>4954</v>
      </c>
      <c r="F370" s="1596" t="s">
        <v>4904</v>
      </c>
      <c r="G370" s="1661">
        <v>72</v>
      </c>
      <c r="H370" s="1603" t="s">
        <v>1858</v>
      </c>
      <c r="I370" s="1601" t="s">
        <v>985</v>
      </c>
      <c r="J370" s="1601">
        <v>4.47</v>
      </c>
      <c r="K370" s="1601">
        <v>4.4800000000000004</v>
      </c>
      <c r="L370" s="1598" t="s">
        <v>5020</v>
      </c>
      <c r="M370" s="1604">
        <v>44635</v>
      </c>
    </row>
    <row r="371" spans="1:13" s="1353" customFormat="1" ht="43.5">
      <c r="A371" s="1601">
        <v>364</v>
      </c>
      <c r="B371" s="1602" t="s">
        <v>982</v>
      </c>
      <c r="C371" s="1597" t="s">
        <v>4186</v>
      </c>
      <c r="D371" s="1598" t="s">
        <v>4188</v>
      </c>
      <c r="E371" s="1603" t="s">
        <v>4954</v>
      </c>
      <c r="F371" s="1596" t="s">
        <v>4904</v>
      </c>
      <c r="G371" s="1661">
        <v>72</v>
      </c>
      <c r="H371" s="1603" t="s">
        <v>1858</v>
      </c>
      <c r="I371" s="1601" t="s">
        <v>958</v>
      </c>
      <c r="J371" s="1601">
        <v>4.47</v>
      </c>
      <c r="K371" s="1601">
        <v>4.4800000000000004</v>
      </c>
      <c r="L371" s="1598" t="s">
        <v>5020</v>
      </c>
      <c r="M371" s="1604">
        <v>44635</v>
      </c>
    </row>
    <row r="372" spans="1:13" s="1353" customFormat="1" ht="43.5">
      <c r="A372" s="1601">
        <v>365</v>
      </c>
      <c r="B372" s="1602" t="s">
        <v>982</v>
      </c>
      <c r="C372" s="1597" t="s">
        <v>4186</v>
      </c>
      <c r="D372" s="1598" t="s">
        <v>4188</v>
      </c>
      <c r="E372" s="1603" t="s">
        <v>4954</v>
      </c>
      <c r="F372" s="1596" t="s">
        <v>4904</v>
      </c>
      <c r="G372" s="1661">
        <v>72</v>
      </c>
      <c r="H372" s="1603" t="s">
        <v>1858</v>
      </c>
      <c r="I372" s="1601" t="s">
        <v>970</v>
      </c>
      <c r="J372" s="1601">
        <v>4.47</v>
      </c>
      <c r="K372" s="1601">
        <v>4.4800000000000004</v>
      </c>
      <c r="L372" s="1598" t="s">
        <v>5020</v>
      </c>
      <c r="M372" s="1604">
        <v>44635</v>
      </c>
    </row>
    <row r="373" spans="1:13" s="1353" customFormat="1" ht="43.5">
      <c r="A373" s="1601">
        <v>366</v>
      </c>
      <c r="B373" s="1602" t="s">
        <v>982</v>
      </c>
      <c r="C373" s="1597" t="s">
        <v>4248</v>
      </c>
      <c r="D373" s="1598" t="s">
        <v>4250</v>
      </c>
      <c r="E373" s="1603" t="s">
        <v>4954</v>
      </c>
      <c r="F373" s="1596" t="s">
        <v>4904</v>
      </c>
      <c r="G373" s="1661">
        <v>72</v>
      </c>
      <c r="H373" s="1603" t="s">
        <v>1858</v>
      </c>
      <c r="I373" s="1601" t="s">
        <v>968</v>
      </c>
      <c r="J373" s="1601">
        <v>4.0999999999999996</v>
      </c>
      <c r="K373" s="1781">
        <v>4</v>
      </c>
      <c r="L373" s="1598" t="s">
        <v>5020</v>
      </c>
      <c r="M373" s="1604">
        <v>44635</v>
      </c>
    </row>
    <row r="374" spans="1:13" s="1353" customFormat="1" ht="43.5">
      <c r="A374" s="1601">
        <v>367</v>
      </c>
      <c r="B374" s="1602" t="s">
        <v>982</v>
      </c>
      <c r="C374" s="1597" t="s">
        <v>4248</v>
      </c>
      <c r="D374" s="1598" t="s">
        <v>4250</v>
      </c>
      <c r="E374" s="1603" t="s">
        <v>4954</v>
      </c>
      <c r="F374" s="1596" t="s">
        <v>4904</v>
      </c>
      <c r="G374" s="1661">
        <v>72</v>
      </c>
      <c r="H374" s="1603" t="s">
        <v>1858</v>
      </c>
      <c r="I374" s="1601" t="s">
        <v>980</v>
      </c>
      <c r="J374" s="1601">
        <v>4.0999999999999996</v>
      </c>
      <c r="K374" s="1781">
        <v>4</v>
      </c>
      <c r="L374" s="1598" t="s">
        <v>5020</v>
      </c>
      <c r="M374" s="1604">
        <v>44635</v>
      </c>
    </row>
    <row r="375" spans="1:13" s="1353" customFormat="1" ht="43.5">
      <c r="A375" s="1601">
        <v>368</v>
      </c>
      <c r="B375" s="1602" t="s">
        <v>982</v>
      </c>
      <c r="C375" s="1597" t="s">
        <v>4248</v>
      </c>
      <c r="D375" s="1598" t="s">
        <v>4250</v>
      </c>
      <c r="E375" s="1603" t="s">
        <v>4954</v>
      </c>
      <c r="F375" s="1596" t="s">
        <v>4904</v>
      </c>
      <c r="G375" s="1661">
        <v>72</v>
      </c>
      <c r="H375" s="1603" t="s">
        <v>1858</v>
      </c>
      <c r="I375" s="1601" t="s">
        <v>985</v>
      </c>
      <c r="J375" s="1601">
        <v>4.0999999999999996</v>
      </c>
      <c r="K375" s="1781">
        <v>4</v>
      </c>
      <c r="L375" s="1598" t="s">
        <v>5020</v>
      </c>
      <c r="M375" s="1604">
        <v>44635</v>
      </c>
    </row>
    <row r="376" spans="1:13" s="1353" customFormat="1" ht="43.5">
      <c r="A376" s="1601">
        <v>369</v>
      </c>
      <c r="B376" s="1602" t="s">
        <v>982</v>
      </c>
      <c r="C376" s="1597" t="s">
        <v>4248</v>
      </c>
      <c r="D376" s="1598" t="s">
        <v>4250</v>
      </c>
      <c r="E376" s="1603" t="s">
        <v>4954</v>
      </c>
      <c r="F376" s="1596" t="s">
        <v>4904</v>
      </c>
      <c r="G376" s="1661">
        <v>72</v>
      </c>
      <c r="H376" s="1603" t="s">
        <v>1858</v>
      </c>
      <c r="I376" s="1601" t="s">
        <v>958</v>
      </c>
      <c r="J376" s="1601">
        <v>4.0999999999999996</v>
      </c>
      <c r="K376" s="1781">
        <v>4</v>
      </c>
      <c r="L376" s="1598" t="s">
        <v>5020</v>
      </c>
      <c r="M376" s="1604">
        <v>44635</v>
      </c>
    </row>
    <row r="377" spans="1:13" s="1353" customFormat="1" ht="43.5">
      <c r="A377" s="1601">
        <v>370</v>
      </c>
      <c r="B377" s="1602" t="s">
        <v>982</v>
      </c>
      <c r="C377" s="1597" t="s">
        <v>4248</v>
      </c>
      <c r="D377" s="1598" t="s">
        <v>4250</v>
      </c>
      <c r="E377" s="1603" t="s">
        <v>4954</v>
      </c>
      <c r="F377" s="1596" t="s">
        <v>4904</v>
      </c>
      <c r="G377" s="1661">
        <v>72</v>
      </c>
      <c r="H377" s="1603" t="s">
        <v>1858</v>
      </c>
      <c r="I377" s="1601" t="s">
        <v>970</v>
      </c>
      <c r="J377" s="1601">
        <v>4.0999999999999996</v>
      </c>
      <c r="K377" s="1781">
        <v>4</v>
      </c>
      <c r="L377" s="1598" t="s">
        <v>5020</v>
      </c>
      <c r="M377" s="1604">
        <v>44635</v>
      </c>
    </row>
    <row r="378" spans="1:13" s="1353" customFormat="1" ht="43.5">
      <c r="A378" s="1601">
        <v>371</v>
      </c>
      <c r="B378" s="1602" t="s">
        <v>982</v>
      </c>
      <c r="C378" s="1597" t="s">
        <v>4263</v>
      </c>
      <c r="D378" s="1598" t="s">
        <v>4265</v>
      </c>
      <c r="E378" s="1603" t="s">
        <v>4954</v>
      </c>
      <c r="F378" s="1596" t="s">
        <v>4904</v>
      </c>
      <c r="G378" s="1661">
        <v>72</v>
      </c>
      <c r="H378" s="1603" t="s">
        <v>1858</v>
      </c>
      <c r="I378" s="1601" t="s">
        <v>968</v>
      </c>
      <c r="J378" s="1601">
        <v>40.04</v>
      </c>
      <c r="K378" s="1601">
        <v>40.049999999999997</v>
      </c>
      <c r="L378" s="1598" t="s">
        <v>5020</v>
      </c>
      <c r="M378" s="1604">
        <v>44635</v>
      </c>
    </row>
    <row r="379" spans="1:13" s="1353" customFormat="1" ht="43.5">
      <c r="A379" s="1601">
        <v>372</v>
      </c>
      <c r="B379" s="1602" t="s">
        <v>982</v>
      </c>
      <c r="C379" s="1597" t="s">
        <v>4263</v>
      </c>
      <c r="D379" s="1598" t="s">
        <v>4265</v>
      </c>
      <c r="E379" s="1603" t="s">
        <v>4954</v>
      </c>
      <c r="F379" s="1596" t="s">
        <v>4904</v>
      </c>
      <c r="G379" s="1661">
        <v>72</v>
      </c>
      <c r="H379" s="1603" t="s">
        <v>1858</v>
      </c>
      <c r="I379" s="1601" t="s">
        <v>980</v>
      </c>
      <c r="J379" s="1601">
        <v>40.04</v>
      </c>
      <c r="K379" s="1601">
        <v>40.049999999999997</v>
      </c>
      <c r="L379" s="1598" t="s">
        <v>5020</v>
      </c>
      <c r="M379" s="1604">
        <v>44635</v>
      </c>
    </row>
    <row r="380" spans="1:13" s="1353" customFormat="1" ht="43.5">
      <c r="A380" s="1601">
        <v>373</v>
      </c>
      <c r="B380" s="1602" t="s">
        <v>982</v>
      </c>
      <c r="C380" s="1597" t="s">
        <v>4263</v>
      </c>
      <c r="D380" s="1598" t="s">
        <v>4265</v>
      </c>
      <c r="E380" s="1603" t="s">
        <v>4954</v>
      </c>
      <c r="F380" s="1596" t="s">
        <v>4904</v>
      </c>
      <c r="G380" s="1661">
        <v>72</v>
      </c>
      <c r="H380" s="1603" t="s">
        <v>1858</v>
      </c>
      <c r="I380" s="1601" t="s">
        <v>985</v>
      </c>
      <c r="J380" s="1601">
        <v>40.04</v>
      </c>
      <c r="K380" s="1601">
        <v>40.049999999999997</v>
      </c>
      <c r="L380" s="1598" t="s">
        <v>5020</v>
      </c>
      <c r="M380" s="1604">
        <v>44635</v>
      </c>
    </row>
    <row r="381" spans="1:13" s="1353" customFormat="1" ht="43.5">
      <c r="A381" s="1601">
        <v>374</v>
      </c>
      <c r="B381" s="1602" t="s">
        <v>982</v>
      </c>
      <c r="C381" s="1597" t="s">
        <v>4263</v>
      </c>
      <c r="D381" s="1598" t="s">
        <v>4265</v>
      </c>
      <c r="E381" s="1603" t="s">
        <v>4954</v>
      </c>
      <c r="F381" s="1596" t="s">
        <v>4904</v>
      </c>
      <c r="G381" s="1661">
        <v>72</v>
      </c>
      <c r="H381" s="1603" t="s">
        <v>1858</v>
      </c>
      <c r="I381" s="1601" t="s">
        <v>958</v>
      </c>
      <c r="J381" s="1601">
        <v>40.04</v>
      </c>
      <c r="K381" s="1601">
        <v>40.049999999999997</v>
      </c>
      <c r="L381" s="1598" t="s">
        <v>5020</v>
      </c>
      <c r="M381" s="1604">
        <v>44635</v>
      </c>
    </row>
    <row r="382" spans="1:13" s="1353" customFormat="1" ht="43.5">
      <c r="A382" s="1601">
        <v>375</v>
      </c>
      <c r="B382" s="1602" t="s">
        <v>982</v>
      </c>
      <c r="C382" s="1597" t="s">
        <v>4263</v>
      </c>
      <c r="D382" s="1598" t="s">
        <v>4265</v>
      </c>
      <c r="E382" s="1603" t="s">
        <v>4954</v>
      </c>
      <c r="F382" s="1596" t="s">
        <v>4904</v>
      </c>
      <c r="G382" s="1661">
        <v>72</v>
      </c>
      <c r="H382" s="1603" t="s">
        <v>1858</v>
      </c>
      <c r="I382" s="1601" t="s">
        <v>970</v>
      </c>
      <c r="J382" s="1601">
        <v>40.04</v>
      </c>
      <c r="K382" s="1601">
        <v>40.049999999999997</v>
      </c>
      <c r="L382" s="1598" t="s">
        <v>5020</v>
      </c>
      <c r="M382" s="1604">
        <v>44635</v>
      </c>
    </row>
    <row r="383" spans="1:13" s="1353" customFormat="1" ht="43.5">
      <c r="A383" s="1601">
        <v>376</v>
      </c>
      <c r="B383" s="1602" t="s">
        <v>982</v>
      </c>
      <c r="C383" s="1597" t="s">
        <v>4343</v>
      </c>
      <c r="D383" s="1598" t="s">
        <v>4345</v>
      </c>
      <c r="E383" s="1603" t="s">
        <v>4954</v>
      </c>
      <c r="F383" s="1596" t="s">
        <v>4904</v>
      </c>
      <c r="G383" s="1661">
        <v>87</v>
      </c>
      <c r="H383" s="1603" t="s">
        <v>1861</v>
      </c>
      <c r="I383" s="1601" t="s">
        <v>968</v>
      </c>
      <c r="J383" s="1783"/>
      <c r="K383" s="1786">
        <v>98000</v>
      </c>
      <c r="L383" s="1598" t="s">
        <v>5020</v>
      </c>
      <c r="M383" s="1604">
        <v>44635</v>
      </c>
    </row>
    <row r="384" spans="1:13" s="1353" customFormat="1" ht="43.5">
      <c r="A384" s="1601">
        <v>377</v>
      </c>
      <c r="B384" s="1602" t="s">
        <v>982</v>
      </c>
      <c r="C384" s="1597" t="s">
        <v>4343</v>
      </c>
      <c r="D384" s="1598" t="s">
        <v>4345</v>
      </c>
      <c r="E384" s="1603" t="s">
        <v>4954</v>
      </c>
      <c r="F384" s="1596" t="s">
        <v>4904</v>
      </c>
      <c r="G384" s="1661">
        <v>87</v>
      </c>
      <c r="H384" s="1603" t="s">
        <v>1861</v>
      </c>
      <c r="I384" s="1601" t="s">
        <v>980</v>
      </c>
      <c r="J384" s="1783"/>
      <c r="K384" s="1786">
        <v>100800</v>
      </c>
      <c r="L384" s="1598" t="s">
        <v>5020</v>
      </c>
      <c r="M384" s="1604">
        <v>44635</v>
      </c>
    </row>
    <row r="385" spans="1:13" s="1353" customFormat="1" ht="43.5">
      <c r="A385" s="1601">
        <v>378</v>
      </c>
      <c r="B385" s="1602" t="s">
        <v>982</v>
      </c>
      <c r="C385" s="1597" t="s">
        <v>4343</v>
      </c>
      <c r="D385" s="1598" t="s">
        <v>4345</v>
      </c>
      <c r="E385" s="1603" t="s">
        <v>4954</v>
      </c>
      <c r="F385" s="1596" t="s">
        <v>4904</v>
      </c>
      <c r="G385" s="1661">
        <v>87</v>
      </c>
      <c r="H385" s="1603" t="s">
        <v>1861</v>
      </c>
      <c r="I385" s="1601" t="s">
        <v>985</v>
      </c>
      <c r="J385" s="1783"/>
      <c r="K385" s="1786">
        <v>102200</v>
      </c>
      <c r="L385" s="1598" t="s">
        <v>5020</v>
      </c>
      <c r="M385" s="1604">
        <v>44635</v>
      </c>
    </row>
    <row r="386" spans="1:13" s="1353" customFormat="1" ht="43.5">
      <c r="A386" s="1601">
        <v>379</v>
      </c>
      <c r="B386" s="1602" t="s">
        <v>982</v>
      </c>
      <c r="C386" s="1597" t="s">
        <v>4343</v>
      </c>
      <c r="D386" s="1598" t="s">
        <v>4345</v>
      </c>
      <c r="E386" s="1603" t="s">
        <v>4954</v>
      </c>
      <c r="F386" s="1596" t="s">
        <v>4904</v>
      </c>
      <c r="G386" s="1661">
        <v>87</v>
      </c>
      <c r="H386" s="1603" t="s">
        <v>1861</v>
      </c>
      <c r="I386" s="1601" t="s">
        <v>958</v>
      </c>
      <c r="J386" s="1783"/>
      <c r="K386" s="1786">
        <v>103600</v>
      </c>
      <c r="L386" s="1598" t="s">
        <v>5020</v>
      </c>
      <c r="M386" s="1604">
        <v>44635</v>
      </c>
    </row>
    <row r="387" spans="1:13" s="1353" customFormat="1" ht="43.5">
      <c r="A387" s="1601">
        <v>380</v>
      </c>
      <c r="B387" s="1602" t="s">
        <v>982</v>
      </c>
      <c r="C387" s="1597" t="s">
        <v>4343</v>
      </c>
      <c r="D387" s="1598" t="s">
        <v>4345</v>
      </c>
      <c r="E387" s="1603" t="s">
        <v>4954</v>
      </c>
      <c r="F387" s="1596" t="s">
        <v>4904</v>
      </c>
      <c r="G387" s="1661">
        <v>87</v>
      </c>
      <c r="H387" s="1603" t="s">
        <v>1861</v>
      </c>
      <c r="I387" s="1601" t="s">
        <v>970</v>
      </c>
      <c r="J387" s="1783"/>
      <c r="K387" s="1786">
        <v>105000</v>
      </c>
      <c r="L387" s="1598" t="s">
        <v>5020</v>
      </c>
      <c r="M387" s="1604">
        <v>44635</v>
      </c>
    </row>
    <row r="388" spans="1:13" s="1353" customFormat="1" ht="43.5">
      <c r="A388" s="1601">
        <v>381</v>
      </c>
      <c r="B388" s="1602" t="s">
        <v>982</v>
      </c>
      <c r="C388" s="1597" t="s">
        <v>4343</v>
      </c>
      <c r="D388" s="1598" t="s">
        <v>4345</v>
      </c>
      <c r="E388" s="1603" t="s">
        <v>4954</v>
      </c>
      <c r="F388" s="1596" t="s">
        <v>4904</v>
      </c>
      <c r="G388" s="1661">
        <v>17</v>
      </c>
      <c r="H388" s="1603" t="s">
        <v>943</v>
      </c>
      <c r="I388" s="1601" t="s">
        <v>1037</v>
      </c>
      <c r="J388" s="1783"/>
      <c r="K388" s="1784" t="s">
        <v>964</v>
      </c>
      <c r="L388" s="1598" t="s">
        <v>5020</v>
      </c>
      <c r="M388" s="1604">
        <v>44635</v>
      </c>
    </row>
    <row r="389" spans="1:13" s="1353" customFormat="1" ht="29">
      <c r="A389" s="1601">
        <v>382</v>
      </c>
      <c r="B389" s="1602" t="s">
        <v>1015</v>
      </c>
      <c r="C389" s="1597" t="s">
        <v>4724</v>
      </c>
      <c r="D389" s="1598" t="s">
        <v>4725</v>
      </c>
      <c r="E389" s="1603" t="s">
        <v>4903</v>
      </c>
      <c r="F389" s="1596" t="s">
        <v>4904</v>
      </c>
      <c r="G389" s="1601">
        <v>22</v>
      </c>
      <c r="H389" s="1603" t="s">
        <v>132</v>
      </c>
      <c r="I389" s="1601" t="s">
        <v>1037</v>
      </c>
      <c r="J389" s="1620">
        <v>1</v>
      </c>
      <c r="K389" s="1601">
        <v>3</v>
      </c>
      <c r="L389" s="1598" t="s">
        <v>5050</v>
      </c>
      <c r="M389" s="1604">
        <v>44636</v>
      </c>
    </row>
    <row r="390" spans="1:13" s="1353" customFormat="1" ht="43.5">
      <c r="A390" s="1601">
        <v>383</v>
      </c>
      <c r="B390" s="1602" t="s">
        <v>972</v>
      </c>
      <c r="C390" s="1597" t="s">
        <v>2138</v>
      </c>
      <c r="D390" s="1598" t="s">
        <v>2139</v>
      </c>
      <c r="E390" s="1603" t="s">
        <v>4954</v>
      </c>
      <c r="F390" s="1596" t="s">
        <v>4904</v>
      </c>
      <c r="G390" s="1661">
        <v>41</v>
      </c>
      <c r="H390" s="1603" t="s">
        <v>4915</v>
      </c>
      <c r="I390" s="1601" t="s">
        <v>968</v>
      </c>
      <c r="J390" s="1784">
        <v>0</v>
      </c>
      <c r="K390" s="1784"/>
      <c r="L390" s="1598" t="s">
        <v>5051</v>
      </c>
      <c r="M390" s="1604">
        <v>44636</v>
      </c>
    </row>
    <row r="391" spans="1:13" s="1353" customFormat="1" ht="43.5">
      <c r="A391" s="1601">
        <v>384</v>
      </c>
      <c r="B391" s="1602" t="s">
        <v>972</v>
      </c>
      <c r="C391" s="1597" t="s">
        <v>2138</v>
      </c>
      <c r="D391" s="1598" t="s">
        <v>2139</v>
      </c>
      <c r="E391" s="1603" t="s">
        <v>4954</v>
      </c>
      <c r="F391" s="1596" t="s">
        <v>4904</v>
      </c>
      <c r="G391" s="1661">
        <v>41</v>
      </c>
      <c r="H391" s="1603" t="s">
        <v>4915</v>
      </c>
      <c r="I391" s="1601" t="s">
        <v>980</v>
      </c>
      <c r="J391" s="1784">
        <v>0</v>
      </c>
      <c r="K391" s="1784"/>
      <c r="L391" s="1598" t="s">
        <v>5051</v>
      </c>
      <c r="M391" s="1604">
        <v>44636</v>
      </c>
    </row>
    <row r="392" spans="1:13" s="1353" customFormat="1" ht="43.5">
      <c r="A392" s="1601">
        <v>385</v>
      </c>
      <c r="B392" s="1602" t="s">
        <v>972</v>
      </c>
      <c r="C392" s="1597" t="s">
        <v>2138</v>
      </c>
      <c r="D392" s="1598" t="s">
        <v>2139</v>
      </c>
      <c r="E392" s="1603" t="s">
        <v>4954</v>
      </c>
      <c r="F392" s="1596" t="s">
        <v>4904</v>
      </c>
      <c r="G392" s="1661">
        <v>41</v>
      </c>
      <c r="H392" s="1603" t="s">
        <v>4915</v>
      </c>
      <c r="I392" s="1601" t="s">
        <v>985</v>
      </c>
      <c r="J392" s="1784">
        <v>0</v>
      </c>
      <c r="K392" s="1784"/>
      <c r="L392" s="1598" t="s">
        <v>5051</v>
      </c>
      <c r="M392" s="1604">
        <v>44636</v>
      </c>
    </row>
    <row r="393" spans="1:13" s="1353" customFormat="1" ht="43.5">
      <c r="A393" s="1601">
        <v>386</v>
      </c>
      <c r="B393" s="1602" t="s">
        <v>972</v>
      </c>
      <c r="C393" s="1597" t="s">
        <v>2138</v>
      </c>
      <c r="D393" s="1598" t="s">
        <v>2139</v>
      </c>
      <c r="E393" s="1603" t="s">
        <v>4954</v>
      </c>
      <c r="F393" s="1596" t="s">
        <v>4904</v>
      </c>
      <c r="G393" s="1661">
        <v>41</v>
      </c>
      <c r="H393" s="1603" t="s">
        <v>4915</v>
      </c>
      <c r="I393" s="1601" t="s">
        <v>958</v>
      </c>
      <c r="J393" s="1784">
        <v>0</v>
      </c>
      <c r="K393" s="1784"/>
      <c r="L393" s="1598" t="s">
        <v>5051</v>
      </c>
      <c r="M393" s="1604">
        <v>44636</v>
      </c>
    </row>
    <row r="394" spans="1:13" s="1353" customFormat="1" ht="43.5">
      <c r="A394" s="1601">
        <v>387</v>
      </c>
      <c r="B394" s="1602" t="s">
        <v>972</v>
      </c>
      <c r="C394" s="1597" t="s">
        <v>2138</v>
      </c>
      <c r="D394" s="1598" t="s">
        <v>2139</v>
      </c>
      <c r="E394" s="1603" t="s">
        <v>4954</v>
      </c>
      <c r="F394" s="1596" t="s">
        <v>4904</v>
      </c>
      <c r="G394" s="1661">
        <v>41</v>
      </c>
      <c r="H394" s="1603" t="s">
        <v>4915</v>
      </c>
      <c r="I394" s="1601" t="s">
        <v>970</v>
      </c>
      <c r="J394" s="1784">
        <v>0</v>
      </c>
      <c r="K394" s="1784"/>
      <c r="L394" s="1598" t="s">
        <v>5051</v>
      </c>
      <c r="M394" s="1604">
        <v>44636</v>
      </c>
    </row>
    <row r="395" spans="1:13" s="1353" customFormat="1" ht="43.5">
      <c r="A395" s="1601">
        <v>388</v>
      </c>
      <c r="B395" s="1602" t="s">
        <v>972</v>
      </c>
      <c r="C395" s="1597" t="s">
        <v>2138</v>
      </c>
      <c r="D395" s="1598" t="s">
        <v>2139</v>
      </c>
      <c r="E395" s="1603" t="s">
        <v>4954</v>
      </c>
      <c r="F395" s="1596" t="s">
        <v>4904</v>
      </c>
      <c r="G395" s="1661">
        <v>72</v>
      </c>
      <c r="H395" s="1603" t="s">
        <v>1858</v>
      </c>
      <c r="I395" s="1601" t="s">
        <v>968</v>
      </c>
      <c r="J395" s="1784">
        <v>648</v>
      </c>
      <c r="K395" s="1784"/>
      <c r="L395" s="1598" t="s">
        <v>5051</v>
      </c>
      <c r="M395" s="1604">
        <v>44636</v>
      </c>
    </row>
    <row r="396" spans="1:13" s="1353" customFormat="1" ht="43.5">
      <c r="A396" s="1601">
        <v>389</v>
      </c>
      <c r="B396" s="1602" t="s">
        <v>972</v>
      </c>
      <c r="C396" s="1597" t="s">
        <v>2138</v>
      </c>
      <c r="D396" s="1598" t="s">
        <v>2139</v>
      </c>
      <c r="E396" s="1603" t="s">
        <v>4954</v>
      </c>
      <c r="F396" s="1596" t="s">
        <v>4904</v>
      </c>
      <c r="G396" s="1661">
        <v>72</v>
      </c>
      <c r="H396" s="1603" t="s">
        <v>1858</v>
      </c>
      <c r="I396" s="1601" t="s">
        <v>980</v>
      </c>
      <c r="J396" s="1784">
        <v>648</v>
      </c>
      <c r="K396" s="1784"/>
      <c r="L396" s="1598" t="s">
        <v>5051</v>
      </c>
      <c r="M396" s="1604">
        <v>44636</v>
      </c>
    </row>
    <row r="397" spans="1:13" s="1353" customFormat="1" ht="43.5">
      <c r="A397" s="1601">
        <v>390</v>
      </c>
      <c r="B397" s="1602" t="s">
        <v>972</v>
      </c>
      <c r="C397" s="1597" t="s">
        <v>2138</v>
      </c>
      <c r="D397" s="1598" t="s">
        <v>2139</v>
      </c>
      <c r="E397" s="1603" t="s">
        <v>4954</v>
      </c>
      <c r="F397" s="1596" t="s">
        <v>4904</v>
      </c>
      <c r="G397" s="1661">
        <v>72</v>
      </c>
      <c r="H397" s="1603" t="s">
        <v>1858</v>
      </c>
      <c r="I397" s="1601" t="s">
        <v>985</v>
      </c>
      <c r="J397" s="1784">
        <v>648</v>
      </c>
      <c r="K397" s="1784"/>
      <c r="L397" s="1598" t="s">
        <v>5051</v>
      </c>
      <c r="M397" s="1604">
        <v>44636</v>
      </c>
    </row>
    <row r="398" spans="1:13" s="1353" customFormat="1" ht="43.5">
      <c r="A398" s="1601">
        <v>391</v>
      </c>
      <c r="B398" s="1602" t="s">
        <v>972</v>
      </c>
      <c r="C398" s="1597" t="s">
        <v>2138</v>
      </c>
      <c r="D398" s="1598" t="s">
        <v>2139</v>
      </c>
      <c r="E398" s="1603" t="s">
        <v>4954</v>
      </c>
      <c r="F398" s="1596" t="s">
        <v>4904</v>
      </c>
      <c r="G398" s="1661">
        <v>72</v>
      </c>
      <c r="H398" s="1603" t="s">
        <v>1858</v>
      </c>
      <c r="I398" s="1601" t="s">
        <v>958</v>
      </c>
      <c r="J398" s="1784">
        <v>648</v>
      </c>
      <c r="K398" s="1784"/>
      <c r="L398" s="1598" t="s">
        <v>5051</v>
      </c>
      <c r="M398" s="1604">
        <v>44636</v>
      </c>
    </row>
    <row r="399" spans="1:13" s="1353" customFormat="1" ht="43.5">
      <c r="A399" s="1601">
        <v>392</v>
      </c>
      <c r="B399" s="1602" t="s">
        <v>972</v>
      </c>
      <c r="C399" s="1597" t="s">
        <v>2138</v>
      </c>
      <c r="D399" s="1598" t="s">
        <v>2139</v>
      </c>
      <c r="E399" s="1603" t="s">
        <v>4954</v>
      </c>
      <c r="F399" s="1596" t="s">
        <v>4904</v>
      </c>
      <c r="G399" s="1661">
        <v>72</v>
      </c>
      <c r="H399" s="1603" t="s">
        <v>1858</v>
      </c>
      <c r="I399" s="1601" t="s">
        <v>970</v>
      </c>
      <c r="J399" s="1784">
        <v>648</v>
      </c>
      <c r="K399" s="1784"/>
      <c r="L399" s="1598" t="s">
        <v>5051</v>
      </c>
      <c r="M399" s="1604">
        <v>44636</v>
      </c>
    </row>
    <row r="400" spans="1:13" s="1353" customFormat="1" ht="43.5">
      <c r="A400" s="1601">
        <v>393</v>
      </c>
      <c r="B400" s="1602" t="s">
        <v>972</v>
      </c>
      <c r="C400" s="1597" t="s">
        <v>2138</v>
      </c>
      <c r="D400" s="1598" t="s">
        <v>2139</v>
      </c>
      <c r="E400" s="1603" t="s">
        <v>4954</v>
      </c>
      <c r="F400" s="1596" t="s">
        <v>4904</v>
      </c>
      <c r="G400" s="1661">
        <v>87</v>
      </c>
      <c r="H400" s="1603" t="s">
        <v>1861</v>
      </c>
      <c r="I400" s="1601" t="s">
        <v>968</v>
      </c>
      <c r="J400" s="1784">
        <v>-1848</v>
      </c>
      <c r="K400" s="1784"/>
      <c r="L400" s="1598" t="s">
        <v>5051</v>
      </c>
      <c r="M400" s="1604">
        <v>44636</v>
      </c>
    </row>
    <row r="401" spans="1:13" s="1353" customFormat="1" ht="43.5">
      <c r="A401" s="1601">
        <v>394</v>
      </c>
      <c r="B401" s="1602" t="s">
        <v>972</v>
      </c>
      <c r="C401" s="1597" t="s">
        <v>2138</v>
      </c>
      <c r="D401" s="1598" t="s">
        <v>2139</v>
      </c>
      <c r="E401" s="1603" t="s">
        <v>4954</v>
      </c>
      <c r="F401" s="1596" t="s">
        <v>4904</v>
      </c>
      <c r="G401" s="1661">
        <v>87</v>
      </c>
      <c r="H401" s="1603" t="s">
        <v>1861</v>
      </c>
      <c r="I401" s="1601" t="s">
        <v>980</v>
      </c>
      <c r="J401" s="1784">
        <v>-1848</v>
      </c>
      <c r="K401" s="1784"/>
      <c r="L401" s="1598" t="s">
        <v>5051</v>
      </c>
      <c r="M401" s="1604">
        <v>44636</v>
      </c>
    </row>
    <row r="402" spans="1:13" s="1353" customFormat="1" ht="43.5">
      <c r="A402" s="1601">
        <v>395</v>
      </c>
      <c r="B402" s="1602" t="s">
        <v>972</v>
      </c>
      <c r="C402" s="1597" t="s">
        <v>2138</v>
      </c>
      <c r="D402" s="1598" t="s">
        <v>2139</v>
      </c>
      <c r="E402" s="1603" t="s">
        <v>4954</v>
      </c>
      <c r="F402" s="1596" t="s">
        <v>4904</v>
      </c>
      <c r="G402" s="1661">
        <v>87</v>
      </c>
      <c r="H402" s="1603" t="s">
        <v>1861</v>
      </c>
      <c r="I402" s="1601" t="s">
        <v>985</v>
      </c>
      <c r="J402" s="1784">
        <v>-1848</v>
      </c>
      <c r="K402" s="1784"/>
      <c r="L402" s="1598" t="s">
        <v>5051</v>
      </c>
      <c r="M402" s="1604">
        <v>44636</v>
      </c>
    </row>
    <row r="403" spans="1:13" s="1353" customFormat="1" ht="43.5">
      <c r="A403" s="1601">
        <v>396</v>
      </c>
      <c r="B403" s="1602" t="s">
        <v>972</v>
      </c>
      <c r="C403" s="1597" t="s">
        <v>2138</v>
      </c>
      <c r="D403" s="1598" t="s">
        <v>2139</v>
      </c>
      <c r="E403" s="1603" t="s">
        <v>4954</v>
      </c>
      <c r="F403" s="1596" t="s">
        <v>4904</v>
      </c>
      <c r="G403" s="1661">
        <v>87</v>
      </c>
      <c r="H403" s="1603" t="s">
        <v>1861</v>
      </c>
      <c r="I403" s="1601" t="s">
        <v>958</v>
      </c>
      <c r="J403" s="1784">
        <v>-1848</v>
      </c>
      <c r="K403" s="1784"/>
      <c r="L403" s="1598" t="s">
        <v>5051</v>
      </c>
      <c r="M403" s="1604">
        <v>44636</v>
      </c>
    </row>
    <row r="404" spans="1:13" s="1353" customFormat="1" ht="43.5">
      <c r="A404" s="1601">
        <v>397</v>
      </c>
      <c r="B404" s="1602" t="s">
        <v>972</v>
      </c>
      <c r="C404" s="1597" t="s">
        <v>2138</v>
      </c>
      <c r="D404" s="1598" t="s">
        <v>2139</v>
      </c>
      <c r="E404" s="1603" t="s">
        <v>4954</v>
      </c>
      <c r="F404" s="1596" t="s">
        <v>4904</v>
      </c>
      <c r="G404" s="1661">
        <v>87</v>
      </c>
      <c r="H404" s="1603" t="s">
        <v>1861</v>
      </c>
      <c r="I404" s="1601" t="s">
        <v>970</v>
      </c>
      <c r="J404" s="1784">
        <v>-1848</v>
      </c>
      <c r="K404" s="1784"/>
      <c r="L404" s="1598" t="s">
        <v>5051</v>
      </c>
      <c r="M404" s="1604">
        <v>44636</v>
      </c>
    </row>
    <row r="405" spans="1:13" s="1353" customFormat="1" ht="43.5">
      <c r="A405" s="1601">
        <v>398</v>
      </c>
      <c r="B405" s="1602" t="s">
        <v>972</v>
      </c>
      <c r="C405" s="1597" t="s">
        <v>2138</v>
      </c>
      <c r="D405" s="1598" t="s">
        <v>2139</v>
      </c>
      <c r="E405" s="1603" t="s">
        <v>4954</v>
      </c>
      <c r="F405" s="1596" t="s">
        <v>4904</v>
      </c>
      <c r="G405" s="1661">
        <v>97</v>
      </c>
      <c r="H405" s="1603" t="s">
        <v>1907</v>
      </c>
      <c r="I405" s="1601" t="s">
        <v>874</v>
      </c>
      <c r="J405" s="1784">
        <v>-1.1980000000000001E-3</v>
      </c>
      <c r="K405" s="1784"/>
      <c r="L405" s="1598" t="s">
        <v>5051</v>
      </c>
      <c r="M405" s="1604">
        <v>44636</v>
      </c>
    </row>
    <row r="406" spans="1:13" s="1353" customFormat="1" ht="43.5">
      <c r="A406" s="1601">
        <v>399</v>
      </c>
      <c r="B406" s="1602" t="s">
        <v>972</v>
      </c>
      <c r="C406" s="1597" t="s">
        <v>2138</v>
      </c>
      <c r="D406" s="1598" t="s">
        <v>2139</v>
      </c>
      <c r="E406" s="1603" t="s">
        <v>4954</v>
      </c>
      <c r="F406" s="1596" t="s">
        <v>4904</v>
      </c>
      <c r="G406" s="1661">
        <v>101</v>
      </c>
      <c r="H406" s="1603" t="s">
        <v>1911</v>
      </c>
      <c r="I406" s="1601" t="s">
        <v>874</v>
      </c>
      <c r="J406" s="1784">
        <v>4.2000000000000002E-4</v>
      </c>
      <c r="K406" s="1784"/>
      <c r="L406" s="1598" t="s">
        <v>5051</v>
      </c>
      <c r="M406" s="1604">
        <v>44636</v>
      </c>
    </row>
    <row r="407" spans="1:13" s="1353" customFormat="1" ht="43.5">
      <c r="A407" s="1601">
        <v>400</v>
      </c>
      <c r="B407" s="1602" t="s">
        <v>1036</v>
      </c>
      <c r="C407" s="1597" t="s">
        <v>3358</v>
      </c>
      <c r="D407" s="1598" t="s">
        <v>5052</v>
      </c>
      <c r="E407" s="1603" t="s">
        <v>4954</v>
      </c>
      <c r="F407" s="1596" t="s">
        <v>4904</v>
      </c>
      <c r="G407" s="1661">
        <v>23</v>
      </c>
      <c r="H407" s="1603" t="s">
        <v>1090</v>
      </c>
      <c r="I407" s="1601" t="s">
        <v>874</v>
      </c>
      <c r="J407" s="1601" t="s">
        <v>966</v>
      </c>
      <c r="K407" s="1601" t="s">
        <v>978</v>
      </c>
      <c r="L407" s="1598" t="s">
        <v>5053</v>
      </c>
      <c r="M407" s="1604">
        <v>44649</v>
      </c>
    </row>
    <row r="408" spans="1:13" s="1353" customFormat="1" ht="58">
      <c r="A408" s="1868">
        <f>A407+1</f>
        <v>401</v>
      </c>
      <c r="B408" s="1869" t="s">
        <v>990</v>
      </c>
      <c r="C408" s="1869" t="s">
        <v>1136</v>
      </c>
      <c r="D408" s="1870" t="s">
        <v>1135</v>
      </c>
      <c r="E408" s="1870" t="s">
        <v>5054</v>
      </c>
      <c r="F408" s="1868" t="s">
        <v>4904</v>
      </c>
      <c r="G408" s="1871">
        <v>23</v>
      </c>
      <c r="H408" s="1870" t="s">
        <v>1090</v>
      </c>
      <c r="I408" s="1868" t="s">
        <v>874</v>
      </c>
      <c r="J408" s="1868" t="s">
        <v>978</v>
      </c>
      <c r="K408" s="1868" t="s">
        <v>966</v>
      </c>
      <c r="L408" s="1870" t="s">
        <v>5055</v>
      </c>
      <c r="M408" s="1872">
        <v>44900</v>
      </c>
    </row>
    <row r="409" spans="1:13" s="1353" customFormat="1" ht="58">
      <c r="A409" s="1868">
        <f t="shared" ref="A409:A425" si="0">A408+1</f>
        <v>402</v>
      </c>
      <c r="B409" s="1869" t="s">
        <v>993</v>
      </c>
      <c r="C409" s="1869" t="s">
        <v>3558</v>
      </c>
      <c r="D409" s="1870" t="s">
        <v>3560</v>
      </c>
      <c r="E409" s="1870" t="s">
        <v>5054</v>
      </c>
      <c r="F409" s="1868" t="s">
        <v>4904</v>
      </c>
      <c r="G409" s="1871">
        <v>62</v>
      </c>
      <c r="H409" s="1870" t="s">
        <v>956</v>
      </c>
      <c r="I409" s="1871" t="s">
        <v>5056</v>
      </c>
      <c r="J409" s="1868" t="s">
        <v>961</v>
      </c>
      <c r="K409" s="1868" t="s">
        <v>4906</v>
      </c>
      <c r="L409" s="1870" t="s">
        <v>5057</v>
      </c>
      <c r="M409" s="1872">
        <v>44900</v>
      </c>
    </row>
    <row r="410" spans="1:13" s="1353" customFormat="1" ht="87">
      <c r="A410" s="1868">
        <f t="shared" si="0"/>
        <v>403</v>
      </c>
      <c r="B410" s="1869" t="s">
        <v>5028</v>
      </c>
      <c r="C410" s="1869" t="s">
        <v>2367</v>
      </c>
      <c r="D410" s="1870" t="s">
        <v>2369</v>
      </c>
      <c r="E410" s="1884" t="s">
        <v>5058</v>
      </c>
      <c r="F410" s="1868" t="s">
        <v>4904</v>
      </c>
      <c r="G410" s="1871">
        <v>62</v>
      </c>
      <c r="H410" s="1870" t="s">
        <v>956</v>
      </c>
      <c r="I410" s="1871" t="s">
        <v>5056</v>
      </c>
      <c r="J410" s="1868" t="s">
        <v>4906</v>
      </c>
      <c r="K410" s="1868" t="s">
        <v>961</v>
      </c>
      <c r="L410" s="1870" t="s">
        <v>5059</v>
      </c>
      <c r="M410" s="1872">
        <v>44900</v>
      </c>
    </row>
    <row r="411" spans="1:13" s="1353" customFormat="1" ht="87">
      <c r="A411" s="1882">
        <f t="shared" si="0"/>
        <v>404</v>
      </c>
      <c r="B411" s="1883" t="s">
        <v>990</v>
      </c>
      <c r="C411" s="1869" t="s">
        <v>1136</v>
      </c>
      <c r="D411" s="1870" t="s">
        <v>1135</v>
      </c>
      <c r="E411" s="1884" t="s">
        <v>5058</v>
      </c>
      <c r="F411" s="1868" t="s">
        <v>4904</v>
      </c>
      <c r="G411" s="1871">
        <v>62</v>
      </c>
      <c r="H411" s="1870" t="s">
        <v>956</v>
      </c>
      <c r="I411" s="1871" t="s">
        <v>5056</v>
      </c>
      <c r="J411" s="1868" t="s">
        <v>4906</v>
      </c>
      <c r="K411" s="1868" t="s">
        <v>961</v>
      </c>
      <c r="L411" s="1870" t="s">
        <v>5060</v>
      </c>
      <c r="M411" s="1872">
        <v>44914</v>
      </c>
    </row>
    <row r="412" spans="1:13" s="1353" customFormat="1" ht="87">
      <c r="A412" s="1882">
        <f t="shared" si="0"/>
        <v>405</v>
      </c>
      <c r="B412" s="1883" t="s">
        <v>5029</v>
      </c>
      <c r="C412" s="1883" t="s">
        <v>2930</v>
      </c>
      <c r="D412" s="1884" t="s">
        <v>2932</v>
      </c>
      <c r="E412" s="1884" t="s">
        <v>5058</v>
      </c>
      <c r="F412" s="1882" t="s">
        <v>4904</v>
      </c>
      <c r="G412" s="1885">
        <v>62</v>
      </c>
      <c r="H412" s="1884" t="s">
        <v>956</v>
      </c>
      <c r="I412" s="1885" t="s">
        <v>5056</v>
      </c>
      <c r="J412" s="1882" t="s">
        <v>4906</v>
      </c>
      <c r="K412" s="1882" t="s">
        <v>961</v>
      </c>
      <c r="L412" s="1884" t="s">
        <v>5061</v>
      </c>
      <c r="M412" s="1886">
        <v>44914</v>
      </c>
    </row>
    <row r="413" spans="1:13" s="1353" customFormat="1" ht="87">
      <c r="A413" s="1882">
        <f t="shared" si="0"/>
        <v>406</v>
      </c>
      <c r="B413" s="1883" t="s">
        <v>996</v>
      </c>
      <c r="C413" s="1883" t="s">
        <v>3131</v>
      </c>
      <c r="D413" s="1884" t="s">
        <v>3134</v>
      </c>
      <c r="E413" s="1884" t="s">
        <v>5058</v>
      </c>
      <c r="F413" s="1882" t="s">
        <v>4904</v>
      </c>
      <c r="G413" s="1885">
        <v>62</v>
      </c>
      <c r="H413" s="1884" t="s">
        <v>956</v>
      </c>
      <c r="I413" s="1885" t="s">
        <v>5056</v>
      </c>
      <c r="J413" s="1882" t="s">
        <v>4906</v>
      </c>
      <c r="K413" s="1882" t="s">
        <v>961</v>
      </c>
      <c r="L413" s="1884" t="s">
        <v>5062</v>
      </c>
      <c r="M413" s="1886">
        <v>44914</v>
      </c>
    </row>
    <row r="414" spans="1:13" s="1353" customFormat="1" ht="87">
      <c r="A414" s="1882">
        <f t="shared" si="0"/>
        <v>407</v>
      </c>
      <c r="B414" s="1883" t="s">
        <v>996</v>
      </c>
      <c r="C414" s="1883" t="s">
        <v>1149</v>
      </c>
      <c r="D414" s="1884" t="s">
        <v>1148</v>
      </c>
      <c r="E414" s="1884" t="s">
        <v>5058</v>
      </c>
      <c r="F414" s="1882" t="s">
        <v>4904</v>
      </c>
      <c r="G414" s="1885">
        <v>62</v>
      </c>
      <c r="H414" s="1884" t="s">
        <v>956</v>
      </c>
      <c r="I414" s="1885" t="s">
        <v>5056</v>
      </c>
      <c r="J414" s="1882" t="s">
        <v>4906</v>
      </c>
      <c r="K414" s="1882" t="s">
        <v>961</v>
      </c>
      <c r="L414" s="1870" t="s">
        <v>5063</v>
      </c>
      <c r="M414" s="1886">
        <v>44914</v>
      </c>
    </row>
    <row r="415" spans="1:13" s="1353" customFormat="1" ht="87">
      <c r="A415" s="1882">
        <f t="shared" si="0"/>
        <v>408</v>
      </c>
      <c r="B415" s="1883" t="s">
        <v>1036</v>
      </c>
      <c r="C415" s="1883" t="s">
        <v>3405</v>
      </c>
      <c r="D415" s="1884" t="s">
        <v>3407</v>
      </c>
      <c r="E415" s="1884" t="s">
        <v>5058</v>
      </c>
      <c r="F415" s="1882" t="s">
        <v>4904</v>
      </c>
      <c r="G415" s="1885">
        <v>62</v>
      </c>
      <c r="H415" s="1884" t="s">
        <v>956</v>
      </c>
      <c r="I415" s="1885" t="s">
        <v>5056</v>
      </c>
      <c r="J415" s="1882" t="s">
        <v>4906</v>
      </c>
      <c r="K415" s="1882" t="s">
        <v>961</v>
      </c>
      <c r="L415" s="1884" t="s">
        <v>5064</v>
      </c>
      <c r="M415" s="1886">
        <v>44914</v>
      </c>
    </row>
    <row r="416" spans="1:13" s="1353" customFormat="1" ht="87">
      <c r="A416" s="1882">
        <f t="shared" si="0"/>
        <v>409</v>
      </c>
      <c r="B416" s="1883" t="s">
        <v>993</v>
      </c>
      <c r="C416" s="1883" t="s">
        <v>3562</v>
      </c>
      <c r="D416" s="1884" t="s">
        <v>3564</v>
      </c>
      <c r="E416" s="1884" t="s">
        <v>5058</v>
      </c>
      <c r="F416" s="1882" t="s">
        <v>4904</v>
      </c>
      <c r="G416" s="1885">
        <v>62</v>
      </c>
      <c r="H416" s="1884" t="s">
        <v>956</v>
      </c>
      <c r="I416" s="1885" t="s">
        <v>5056</v>
      </c>
      <c r="J416" s="1882" t="s">
        <v>4906</v>
      </c>
      <c r="K416" s="1882" t="s">
        <v>961</v>
      </c>
      <c r="L416" s="1884" t="s">
        <v>5065</v>
      </c>
      <c r="M416" s="1886">
        <v>44914</v>
      </c>
    </row>
    <row r="417" spans="1:13" s="1353" customFormat="1" ht="87">
      <c r="A417" s="1882">
        <f t="shared" si="0"/>
        <v>410</v>
      </c>
      <c r="B417" s="1883" t="s">
        <v>1003</v>
      </c>
      <c r="C417" s="1883" t="s">
        <v>3815</v>
      </c>
      <c r="D417" s="1884" t="s">
        <v>3817</v>
      </c>
      <c r="E417" s="1884" t="s">
        <v>5058</v>
      </c>
      <c r="F417" s="1882" t="s">
        <v>4904</v>
      </c>
      <c r="G417" s="1885">
        <v>62</v>
      </c>
      <c r="H417" s="1884" t="s">
        <v>956</v>
      </c>
      <c r="I417" s="1885" t="s">
        <v>5056</v>
      </c>
      <c r="J417" s="1882" t="s">
        <v>4906</v>
      </c>
      <c r="K417" s="1882" t="s">
        <v>961</v>
      </c>
      <c r="L417" s="1884" t="s">
        <v>5066</v>
      </c>
      <c r="M417" s="1886">
        <v>44914</v>
      </c>
    </row>
    <row r="418" spans="1:13" s="1353" customFormat="1" ht="87">
      <c r="A418" s="1882">
        <f t="shared" si="0"/>
        <v>411</v>
      </c>
      <c r="B418" s="1883" t="s">
        <v>1008</v>
      </c>
      <c r="C418" s="1883" t="s">
        <v>1155</v>
      </c>
      <c r="D418" s="1884" t="s">
        <v>1154</v>
      </c>
      <c r="E418" s="1884" t="s">
        <v>5058</v>
      </c>
      <c r="F418" s="1882" t="s">
        <v>4904</v>
      </c>
      <c r="G418" s="1885">
        <v>62</v>
      </c>
      <c r="H418" s="1884" t="s">
        <v>956</v>
      </c>
      <c r="I418" s="1885" t="s">
        <v>5056</v>
      </c>
      <c r="J418" s="1882" t="s">
        <v>4906</v>
      </c>
      <c r="K418" s="1882" t="s">
        <v>961</v>
      </c>
      <c r="L418" s="1884" t="s">
        <v>5067</v>
      </c>
      <c r="M418" s="1886">
        <v>44914</v>
      </c>
    </row>
    <row r="419" spans="1:13" s="1353" customFormat="1" ht="87">
      <c r="A419" s="1882">
        <f t="shared" si="0"/>
        <v>412</v>
      </c>
      <c r="B419" s="1883" t="s">
        <v>1008</v>
      </c>
      <c r="C419" s="1883" t="s">
        <v>4061</v>
      </c>
      <c r="D419" s="1884" t="s">
        <v>4063</v>
      </c>
      <c r="E419" s="1884" t="s">
        <v>5058</v>
      </c>
      <c r="F419" s="1882" t="s">
        <v>4904</v>
      </c>
      <c r="G419" s="1885">
        <v>62</v>
      </c>
      <c r="H419" s="1884" t="s">
        <v>956</v>
      </c>
      <c r="I419" s="1885" t="s">
        <v>5056</v>
      </c>
      <c r="J419" s="1882" t="s">
        <v>4906</v>
      </c>
      <c r="K419" s="1882" t="s">
        <v>961</v>
      </c>
      <c r="L419" s="1884" t="s">
        <v>5068</v>
      </c>
      <c r="M419" s="1886">
        <v>44914</v>
      </c>
    </row>
    <row r="420" spans="1:13" s="1353" customFormat="1" ht="87">
      <c r="A420" s="1882">
        <f t="shared" si="0"/>
        <v>413</v>
      </c>
      <c r="B420" s="1883" t="s">
        <v>1008</v>
      </c>
      <c r="C420" s="1883" t="s">
        <v>1161</v>
      </c>
      <c r="D420" s="1884" t="s">
        <v>1160</v>
      </c>
      <c r="E420" s="1884" t="s">
        <v>5058</v>
      </c>
      <c r="F420" s="1882" t="s">
        <v>4904</v>
      </c>
      <c r="G420" s="1885">
        <v>62</v>
      </c>
      <c r="H420" s="1884" t="s">
        <v>956</v>
      </c>
      <c r="I420" s="1885" t="s">
        <v>5056</v>
      </c>
      <c r="J420" s="1882" t="s">
        <v>4906</v>
      </c>
      <c r="K420" s="1882" t="s">
        <v>961</v>
      </c>
      <c r="L420" s="1884" t="s">
        <v>5069</v>
      </c>
      <c r="M420" s="1886">
        <v>44914</v>
      </c>
    </row>
    <row r="421" spans="1:13" s="1353" customFormat="1" ht="87">
      <c r="A421" s="1882">
        <f t="shared" si="0"/>
        <v>414</v>
      </c>
      <c r="B421" s="1883" t="s">
        <v>1008</v>
      </c>
      <c r="C421" s="1883" t="s">
        <v>4066</v>
      </c>
      <c r="D421" s="1884" t="s">
        <v>4068</v>
      </c>
      <c r="E421" s="1884" t="s">
        <v>5058</v>
      </c>
      <c r="F421" s="1882" t="s">
        <v>4904</v>
      </c>
      <c r="G421" s="1885">
        <v>62</v>
      </c>
      <c r="H421" s="1884" t="s">
        <v>956</v>
      </c>
      <c r="I421" s="1885" t="s">
        <v>5056</v>
      </c>
      <c r="J421" s="1882" t="s">
        <v>4906</v>
      </c>
      <c r="K421" s="1882" t="s">
        <v>961</v>
      </c>
      <c r="L421" s="1884" t="s">
        <v>5068</v>
      </c>
      <c r="M421" s="1886">
        <v>44914</v>
      </c>
    </row>
    <row r="422" spans="1:13" s="1353" customFormat="1" ht="87">
      <c r="A422" s="1882">
        <f t="shared" si="0"/>
        <v>415</v>
      </c>
      <c r="B422" s="1883" t="s">
        <v>982</v>
      </c>
      <c r="C422" s="1883" t="s">
        <v>5070</v>
      </c>
      <c r="D422" s="1884" t="s">
        <v>4367</v>
      </c>
      <c r="E422" s="1884" t="s">
        <v>5058</v>
      </c>
      <c r="F422" s="1882" t="s">
        <v>4904</v>
      </c>
      <c r="G422" s="1885">
        <v>62</v>
      </c>
      <c r="H422" s="1884" t="s">
        <v>956</v>
      </c>
      <c r="I422" s="1885" t="s">
        <v>5056</v>
      </c>
      <c r="J422" s="1882" t="s">
        <v>4906</v>
      </c>
      <c r="K422" s="1882" t="s">
        <v>961</v>
      </c>
      <c r="L422" s="1884" t="s">
        <v>5071</v>
      </c>
      <c r="M422" s="1886">
        <v>44914</v>
      </c>
    </row>
    <row r="423" spans="1:13" s="1353" customFormat="1" ht="87">
      <c r="A423" s="1882">
        <f t="shared" si="0"/>
        <v>416</v>
      </c>
      <c r="B423" s="1883" t="s">
        <v>1012</v>
      </c>
      <c r="C423" s="1883" t="s">
        <v>4465</v>
      </c>
      <c r="D423" s="1884" t="s">
        <v>4467</v>
      </c>
      <c r="E423" s="1884" t="s">
        <v>5058</v>
      </c>
      <c r="F423" s="1882" t="s">
        <v>4904</v>
      </c>
      <c r="G423" s="1885">
        <v>62</v>
      </c>
      <c r="H423" s="1884" t="s">
        <v>956</v>
      </c>
      <c r="I423" s="1885" t="s">
        <v>5056</v>
      </c>
      <c r="J423" s="1882" t="s">
        <v>4906</v>
      </c>
      <c r="K423" s="1882" t="s">
        <v>961</v>
      </c>
      <c r="L423" s="1884" t="s">
        <v>5072</v>
      </c>
      <c r="M423" s="1886">
        <v>44914</v>
      </c>
    </row>
    <row r="424" spans="1:13" s="1353" customFormat="1" ht="87">
      <c r="A424" s="1882">
        <f t="shared" si="0"/>
        <v>417</v>
      </c>
      <c r="B424" s="1883" t="s">
        <v>1012</v>
      </c>
      <c r="C424" s="1883" t="s">
        <v>4485</v>
      </c>
      <c r="D424" s="1884" t="s">
        <v>4487</v>
      </c>
      <c r="E424" s="1884" t="s">
        <v>5058</v>
      </c>
      <c r="F424" s="1882" t="s">
        <v>4904</v>
      </c>
      <c r="G424" s="1885">
        <v>62</v>
      </c>
      <c r="H424" s="1884" t="s">
        <v>956</v>
      </c>
      <c r="I424" s="1885" t="s">
        <v>5056</v>
      </c>
      <c r="J424" s="1882" t="s">
        <v>4906</v>
      </c>
      <c r="K424" s="1882" t="s">
        <v>961</v>
      </c>
      <c r="L424" s="1912" t="s">
        <v>5072</v>
      </c>
      <c r="M424" s="1886">
        <v>44914</v>
      </c>
    </row>
    <row r="425" spans="1:13" s="1353" customFormat="1" ht="29">
      <c r="A425" s="1882">
        <f t="shared" si="0"/>
        <v>418</v>
      </c>
      <c r="B425" s="1883" t="s">
        <v>993</v>
      </c>
      <c r="C425" s="1883" t="s">
        <v>3549</v>
      </c>
      <c r="D425" s="1884" t="s">
        <v>3551</v>
      </c>
      <c r="E425" s="1884" t="s">
        <v>5073</v>
      </c>
      <c r="F425" s="1882" t="s">
        <v>4904</v>
      </c>
      <c r="G425" s="1885">
        <v>41</v>
      </c>
      <c r="H425" s="1884" t="s">
        <v>1855</v>
      </c>
      <c r="I425" s="1882" t="s">
        <v>970</v>
      </c>
      <c r="J425" s="1913">
        <v>96</v>
      </c>
      <c r="K425" s="1913">
        <v>97.7</v>
      </c>
      <c r="L425" s="1914" t="s">
        <v>5074</v>
      </c>
      <c r="M425" s="1886">
        <v>44914</v>
      </c>
    </row>
    <row r="426" spans="1:13" s="1353" customFormat="1" ht="56">
      <c r="A426" s="1882">
        <f>A425+1</f>
        <v>419</v>
      </c>
      <c r="B426" s="1883" t="s">
        <v>1036</v>
      </c>
      <c r="C426" s="1883" t="s">
        <v>3405</v>
      </c>
      <c r="D426" s="1884" t="s">
        <v>3407</v>
      </c>
      <c r="E426" s="1884" t="s">
        <v>5073</v>
      </c>
      <c r="F426" s="1882" t="s">
        <v>4904</v>
      </c>
      <c r="G426" s="1885">
        <v>41</v>
      </c>
      <c r="H426" s="1884" t="s">
        <v>1855</v>
      </c>
      <c r="I426" s="1882" t="s">
        <v>958</v>
      </c>
      <c r="J426" s="1915">
        <v>100</v>
      </c>
      <c r="K426" s="1915">
        <v>55.1</v>
      </c>
      <c r="L426" s="1928" t="s">
        <v>5075</v>
      </c>
      <c r="M426" s="1886">
        <v>44914</v>
      </c>
    </row>
    <row r="427" spans="1:13" s="1353" customFormat="1" ht="29">
      <c r="A427" s="1882">
        <f t="shared" ref="A427:A489" si="1">A426+1</f>
        <v>420</v>
      </c>
      <c r="B427" s="1883" t="s">
        <v>999</v>
      </c>
      <c r="C427" s="1883" t="s">
        <v>1142</v>
      </c>
      <c r="D427" s="1884" t="s">
        <v>1141</v>
      </c>
      <c r="E427" s="1884" t="s">
        <v>5073</v>
      </c>
      <c r="F427" s="1882" t="s">
        <v>4904</v>
      </c>
      <c r="G427" s="1885">
        <v>41</v>
      </c>
      <c r="H427" s="1884" t="s">
        <v>1855</v>
      </c>
      <c r="I427" s="1882" t="s">
        <v>980</v>
      </c>
      <c r="J427" s="1920">
        <v>83209</v>
      </c>
      <c r="K427" s="1920">
        <v>84209</v>
      </c>
      <c r="L427" s="1914" t="s">
        <v>5074</v>
      </c>
      <c r="M427" s="1886">
        <v>44915</v>
      </c>
    </row>
    <row r="428" spans="1:13" s="1353" customFormat="1" ht="29">
      <c r="A428" s="1882">
        <f t="shared" si="1"/>
        <v>421</v>
      </c>
      <c r="B428" s="1883" t="s">
        <v>999</v>
      </c>
      <c r="C428" s="1883" t="s">
        <v>1142</v>
      </c>
      <c r="D428" s="1884" t="s">
        <v>1141</v>
      </c>
      <c r="E428" s="1884" t="s">
        <v>5073</v>
      </c>
      <c r="F428" s="1882" t="s">
        <v>4904</v>
      </c>
      <c r="G428" s="1885">
        <v>41</v>
      </c>
      <c r="H428" s="1884" t="s">
        <v>1855</v>
      </c>
      <c r="I428" s="1882" t="s">
        <v>985</v>
      </c>
      <c r="J428" s="1920">
        <v>93209</v>
      </c>
      <c r="K428" s="1920">
        <v>96209</v>
      </c>
      <c r="L428" s="1914" t="s">
        <v>5074</v>
      </c>
      <c r="M428" s="1886">
        <v>44915</v>
      </c>
    </row>
    <row r="429" spans="1:13" s="1353" customFormat="1" ht="29">
      <c r="A429" s="1882">
        <f t="shared" si="1"/>
        <v>422</v>
      </c>
      <c r="B429" s="1883" t="s">
        <v>999</v>
      </c>
      <c r="C429" s="1883" t="s">
        <v>1142</v>
      </c>
      <c r="D429" s="1884" t="s">
        <v>1141</v>
      </c>
      <c r="E429" s="1884" t="s">
        <v>5073</v>
      </c>
      <c r="F429" s="1882" t="s">
        <v>4904</v>
      </c>
      <c r="G429" s="1885">
        <v>41</v>
      </c>
      <c r="H429" s="1884" t="s">
        <v>1855</v>
      </c>
      <c r="I429" s="1882" t="s">
        <v>958</v>
      </c>
      <c r="J429" s="1920">
        <v>103209</v>
      </c>
      <c r="K429" s="1920">
        <v>109209</v>
      </c>
      <c r="L429" s="1914" t="s">
        <v>5074</v>
      </c>
      <c r="M429" s="1886">
        <v>44915</v>
      </c>
    </row>
    <row r="430" spans="1:13" s="1353" customFormat="1" ht="29">
      <c r="A430" s="1882">
        <f t="shared" si="1"/>
        <v>423</v>
      </c>
      <c r="B430" s="1883" t="s">
        <v>999</v>
      </c>
      <c r="C430" s="1883" t="s">
        <v>1142</v>
      </c>
      <c r="D430" s="1884" t="s">
        <v>1141</v>
      </c>
      <c r="E430" s="1884" t="s">
        <v>5073</v>
      </c>
      <c r="F430" s="1882" t="s">
        <v>4904</v>
      </c>
      <c r="G430" s="1885">
        <v>41</v>
      </c>
      <c r="H430" s="1884" t="s">
        <v>1855</v>
      </c>
      <c r="I430" s="1882" t="s">
        <v>970</v>
      </c>
      <c r="J430" s="1920">
        <v>113209</v>
      </c>
      <c r="K430" s="1920">
        <v>123209</v>
      </c>
      <c r="L430" s="1914" t="s">
        <v>5074</v>
      </c>
      <c r="M430" s="1886">
        <v>44915</v>
      </c>
    </row>
    <row r="431" spans="1:13" s="1353" customFormat="1" ht="29">
      <c r="A431" s="1882">
        <f t="shared" si="1"/>
        <v>424</v>
      </c>
      <c r="B431" s="1883" t="s">
        <v>999</v>
      </c>
      <c r="C431" s="1883" t="s">
        <v>1142</v>
      </c>
      <c r="D431" s="1884" t="s">
        <v>1141</v>
      </c>
      <c r="E431" s="1884" t="s">
        <v>5073</v>
      </c>
      <c r="F431" s="1882" t="s">
        <v>4904</v>
      </c>
      <c r="G431" s="1885">
        <v>72</v>
      </c>
      <c r="H431" s="1884" t="s">
        <v>1858</v>
      </c>
      <c r="I431" s="1882" t="s">
        <v>980</v>
      </c>
      <c r="J431" s="1920">
        <v>79028</v>
      </c>
      <c r="K431" s="1920">
        <v>79828</v>
      </c>
      <c r="L431" s="1914" t="s">
        <v>5074</v>
      </c>
      <c r="M431" s="1886">
        <v>44915</v>
      </c>
    </row>
    <row r="432" spans="1:13" s="1353" customFormat="1" ht="29">
      <c r="A432" s="1882">
        <f t="shared" si="1"/>
        <v>425</v>
      </c>
      <c r="B432" s="1883" t="s">
        <v>999</v>
      </c>
      <c r="C432" s="1883" t="s">
        <v>1142</v>
      </c>
      <c r="D432" s="1884" t="s">
        <v>1141</v>
      </c>
      <c r="E432" s="1884" t="s">
        <v>5073</v>
      </c>
      <c r="F432" s="1882" t="s">
        <v>4904</v>
      </c>
      <c r="G432" s="1885">
        <v>72</v>
      </c>
      <c r="H432" s="1884" t="s">
        <v>1858</v>
      </c>
      <c r="I432" s="1882" t="s">
        <v>985</v>
      </c>
      <c r="J432" s="1920">
        <v>89028</v>
      </c>
      <c r="K432" s="1920">
        <v>91428</v>
      </c>
      <c r="L432" s="1914" t="s">
        <v>5074</v>
      </c>
      <c r="M432" s="1886">
        <v>44915</v>
      </c>
    </row>
    <row r="433" spans="1:13" s="1353" customFormat="1" ht="29">
      <c r="A433" s="1882">
        <f t="shared" si="1"/>
        <v>426</v>
      </c>
      <c r="B433" s="1883" t="s">
        <v>999</v>
      </c>
      <c r="C433" s="1883" t="s">
        <v>1142</v>
      </c>
      <c r="D433" s="1884" t="s">
        <v>1141</v>
      </c>
      <c r="E433" s="1884" t="s">
        <v>5073</v>
      </c>
      <c r="F433" s="1882" t="s">
        <v>4904</v>
      </c>
      <c r="G433" s="1885">
        <v>72</v>
      </c>
      <c r="H433" s="1884" t="s">
        <v>1858</v>
      </c>
      <c r="I433" s="1882" t="s">
        <v>958</v>
      </c>
      <c r="J433" s="1920">
        <v>99028</v>
      </c>
      <c r="K433" s="1920">
        <v>103828</v>
      </c>
      <c r="L433" s="1914" t="s">
        <v>5074</v>
      </c>
      <c r="M433" s="1886">
        <v>44915</v>
      </c>
    </row>
    <row r="434" spans="1:13" s="1353" customFormat="1" ht="29">
      <c r="A434" s="1882">
        <f t="shared" si="1"/>
        <v>427</v>
      </c>
      <c r="B434" s="1883" t="s">
        <v>999</v>
      </c>
      <c r="C434" s="1883" t="s">
        <v>1142</v>
      </c>
      <c r="D434" s="1884" t="s">
        <v>1141</v>
      </c>
      <c r="E434" s="1884" t="s">
        <v>5073</v>
      </c>
      <c r="F434" s="1882" t="s">
        <v>4904</v>
      </c>
      <c r="G434" s="1885">
        <v>72</v>
      </c>
      <c r="H434" s="1884" t="s">
        <v>1858</v>
      </c>
      <c r="I434" s="1882" t="s">
        <v>970</v>
      </c>
      <c r="J434" s="1920">
        <v>109028</v>
      </c>
      <c r="K434" s="1920">
        <v>117028</v>
      </c>
      <c r="L434" s="1914" t="s">
        <v>5074</v>
      </c>
      <c r="M434" s="1886">
        <v>44915</v>
      </c>
    </row>
    <row r="435" spans="1:13" s="1353" customFormat="1" ht="29">
      <c r="A435" s="1882">
        <f t="shared" si="1"/>
        <v>428</v>
      </c>
      <c r="B435" s="1883" t="s">
        <v>999</v>
      </c>
      <c r="C435" s="1883" t="s">
        <v>1142</v>
      </c>
      <c r="D435" s="1884" t="s">
        <v>1141</v>
      </c>
      <c r="E435" s="1884" t="s">
        <v>5073</v>
      </c>
      <c r="F435" s="1882" t="s">
        <v>4904</v>
      </c>
      <c r="G435" s="1885">
        <v>87</v>
      </c>
      <c r="H435" s="1884" t="s">
        <v>1861</v>
      </c>
      <c r="I435" s="1882" t="s">
        <v>980</v>
      </c>
      <c r="J435" s="1920">
        <v>92209</v>
      </c>
      <c r="K435" s="1920">
        <v>93709</v>
      </c>
      <c r="L435" s="1914" t="s">
        <v>5074</v>
      </c>
      <c r="M435" s="1886">
        <v>44915</v>
      </c>
    </row>
    <row r="436" spans="1:13" s="1353" customFormat="1" ht="29">
      <c r="A436" s="1882">
        <f t="shared" si="1"/>
        <v>429</v>
      </c>
      <c r="B436" s="1883" t="s">
        <v>999</v>
      </c>
      <c r="C436" s="1883" t="s">
        <v>1142</v>
      </c>
      <c r="D436" s="1884" t="s">
        <v>1141</v>
      </c>
      <c r="E436" s="1884" t="s">
        <v>5073</v>
      </c>
      <c r="F436" s="1882" t="s">
        <v>4904</v>
      </c>
      <c r="G436" s="1885">
        <v>87</v>
      </c>
      <c r="H436" s="1884" t="s">
        <v>1861</v>
      </c>
      <c r="I436" s="1882" t="s">
        <v>985</v>
      </c>
      <c r="J436" s="1920">
        <v>102209</v>
      </c>
      <c r="K436" s="1920">
        <v>106709</v>
      </c>
      <c r="L436" s="1914" t="s">
        <v>5074</v>
      </c>
      <c r="M436" s="1886">
        <v>44915</v>
      </c>
    </row>
    <row r="437" spans="1:13" s="1353" customFormat="1" ht="29">
      <c r="A437" s="1882">
        <f t="shared" si="1"/>
        <v>430</v>
      </c>
      <c r="B437" s="1883" t="s">
        <v>999</v>
      </c>
      <c r="C437" s="1883" t="s">
        <v>1142</v>
      </c>
      <c r="D437" s="1884" t="s">
        <v>1141</v>
      </c>
      <c r="E437" s="1884" t="s">
        <v>5073</v>
      </c>
      <c r="F437" s="1882" t="s">
        <v>4904</v>
      </c>
      <c r="G437" s="1885">
        <v>87</v>
      </c>
      <c r="H437" s="1884" t="s">
        <v>1861</v>
      </c>
      <c r="I437" s="1882" t="s">
        <v>958</v>
      </c>
      <c r="J437" s="1920">
        <v>112209</v>
      </c>
      <c r="K437" s="1920">
        <v>121209</v>
      </c>
      <c r="L437" s="1914" t="s">
        <v>5074</v>
      </c>
      <c r="M437" s="1886">
        <v>44915</v>
      </c>
    </row>
    <row r="438" spans="1:13" s="1353" customFormat="1" ht="29">
      <c r="A438" s="1882">
        <f t="shared" si="1"/>
        <v>431</v>
      </c>
      <c r="B438" s="1883" t="s">
        <v>999</v>
      </c>
      <c r="C438" s="1883" t="s">
        <v>1142</v>
      </c>
      <c r="D438" s="1884" t="s">
        <v>1141</v>
      </c>
      <c r="E438" s="1884" t="s">
        <v>5073</v>
      </c>
      <c r="F438" s="1882" t="s">
        <v>4904</v>
      </c>
      <c r="G438" s="1885">
        <v>87</v>
      </c>
      <c r="H438" s="1884" t="s">
        <v>1861</v>
      </c>
      <c r="I438" s="1882" t="s">
        <v>970</v>
      </c>
      <c r="J438" s="1920">
        <v>122209</v>
      </c>
      <c r="K438" s="1920">
        <v>137209</v>
      </c>
      <c r="L438" s="1914" t="s">
        <v>5074</v>
      </c>
      <c r="M438" s="1886">
        <v>44915</v>
      </c>
    </row>
    <row r="439" spans="1:13" s="1353" customFormat="1" ht="87">
      <c r="A439" s="1882">
        <f t="shared" si="1"/>
        <v>432</v>
      </c>
      <c r="B439" s="1883" t="s">
        <v>972</v>
      </c>
      <c r="C439" s="1883" t="s">
        <v>1127</v>
      </c>
      <c r="D439" s="1884" t="s">
        <v>1126</v>
      </c>
      <c r="E439" s="1884" t="s">
        <v>5058</v>
      </c>
      <c r="F439" s="1882" t="s">
        <v>4904</v>
      </c>
      <c r="G439" s="1885">
        <v>62</v>
      </c>
      <c r="H439" s="1884" t="s">
        <v>956</v>
      </c>
      <c r="I439" s="1885" t="s">
        <v>5056</v>
      </c>
      <c r="J439" s="1882" t="s">
        <v>4906</v>
      </c>
      <c r="K439" s="1882" t="s">
        <v>961</v>
      </c>
      <c r="L439" s="1884" t="s">
        <v>5076</v>
      </c>
      <c r="M439" s="1886">
        <v>44915</v>
      </c>
    </row>
    <row r="440" spans="1:13" s="1353" customFormat="1" ht="87">
      <c r="A440" s="1882">
        <f t="shared" si="1"/>
        <v>433</v>
      </c>
      <c r="B440" s="1883" t="s">
        <v>972</v>
      </c>
      <c r="C440" s="1883" t="s">
        <v>2116</v>
      </c>
      <c r="D440" s="1884" t="s">
        <v>2117</v>
      </c>
      <c r="E440" s="1884" t="s">
        <v>5058</v>
      </c>
      <c r="F440" s="1882" t="s">
        <v>4904</v>
      </c>
      <c r="G440" s="1885">
        <v>17</v>
      </c>
      <c r="H440" s="1884" t="s">
        <v>943</v>
      </c>
      <c r="I440" s="1882" t="s">
        <v>874</v>
      </c>
      <c r="J440" s="1882" t="s">
        <v>5077</v>
      </c>
      <c r="K440" s="1882" t="s">
        <v>964</v>
      </c>
      <c r="L440" s="1884" t="s">
        <v>5078</v>
      </c>
      <c r="M440" s="1886">
        <v>44931</v>
      </c>
    </row>
    <row r="441" spans="1:13" s="1353" customFormat="1" ht="29">
      <c r="A441" s="1882">
        <f t="shared" si="1"/>
        <v>434</v>
      </c>
      <c r="B441" s="1883" t="s">
        <v>972</v>
      </c>
      <c r="C441" s="1883" t="s">
        <v>4729</v>
      </c>
      <c r="D441" s="1884" t="s">
        <v>4730</v>
      </c>
      <c r="E441" s="1884" t="s">
        <v>4903</v>
      </c>
      <c r="F441" s="1882" t="s">
        <v>4904</v>
      </c>
      <c r="G441" s="1885">
        <v>97</v>
      </c>
      <c r="H441" s="1884" t="s">
        <v>1907</v>
      </c>
      <c r="I441" s="1882"/>
      <c r="J441" s="1882">
        <v>4.7699999999999999E-2</v>
      </c>
      <c r="K441" s="1882">
        <v>-4.7699999999999999E-2</v>
      </c>
      <c r="L441" s="1884" t="s">
        <v>5079</v>
      </c>
      <c r="M441" s="1886">
        <v>44937</v>
      </c>
    </row>
    <row r="442" spans="1:13" s="1353" customFormat="1" ht="29">
      <c r="A442" s="1882">
        <f t="shared" si="1"/>
        <v>435</v>
      </c>
      <c r="B442" s="1883" t="s">
        <v>1015</v>
      </c>
      <c r="C442" s="1883" t="s">
        <v>4576</v>
      </c>
      <c r="D442" s="1884" t="s">
        <v>4578</v>
      </c>
      <c r="E442" s="1884" t="s">
        <v>5080</v>
      </c>
      <c r="F442" s="1882" t="s">
        <v>4904</v>
      </c>
      <c r="G442" s="1885">
        <v>62</v>
      </c>
      <c r="H442" s="1884" t="s">
        <v>956</v>
      </c>
      <c r="I442" s="1882" t="s">
        <v>968</v>
      </c>
      <c r="J442" s="1882" t="s">
        <v>961</v>
      </c>
      <c r="K442" s="1882" t="s">
        <v>4906</v>
      </c>
      <c r="L442" s="1884" t="s">
        <v>5081</v>
      </c>
      <c r="M442" s="1886">
        <v>44960</v>
      </c>
    </row>
    <row r="443" spans="1:13" s="1353" customFormat="1" ht="29">
      <c r="A443" s="1882">
        <f t="shared" si="1"/>
        <v>436</v>
      </c>
      <c r="B443" s="1883" t="s">
        <v>1015</v>
      </c>
      <c r="C443" s="1883" t="s">
        <v>4576</v>
      </c>
      <c r="D443" s="1884" t="s">
        <v>4578</v>
      </c>
      <c r="E443" s="1884" t="s">
        <v>5080</v>
      </c>
      <c r="F443" s="1882" t="s">
        <v>4904</v>
      </c>
      <c r="G443" s="1885">
        <v>62</v>
      </c>
      <c r="H443" s="1884" t="s">
        <v>956</v>
      </c>
      <c r="I443" s="1882" t="s">
        <v>980</v>
      </c>
      <c r="J443" s="1882" t="s">
        <v>961</v>
      </c>
      <c r="K443" s="1882" t="s">
        <v>4906</v>
      </c>
      <c r="L443" s="1884" t="s">
        <v>5081</v>
      </c>
      <c r="M443" s="1886">
        <v>44960</v>
      </c>
    </row>
    <row r="444" spans="1:13" s="1353" customFormat="1" ht="29">
      <c r="A444" s="1882">
        <f t="shared" si="1"/>
        <v>437</v>
      </c>
      <c r="B444" s="1883" t="s">
        <v>1015</v>
      </c>
      <c r="C444" s="1883" t="s">
        <v>4576</v>
      </c>
      <c r="D444" s="1884" t="s">
        <v>4578</v>
      </c>
      <c r="E444" s="1884" t="s">
        <v>5080</v>
      </c>
      <c r="F444" s="1882" t="s">
        <v>4904</v>
      </c>
      <c r="G444" s="1885">
        <v>62</v>
      </c>
      <c r="H444" s="1884" t="s">
        <v>956</v>
      </c>
      <c r="I444" s="1882" t="s">
        <v>985</v>
      </c>
      <c r="J444" s="1882" t="s">
        <v>961</v>
      </c>
      <c r="K444" s="1882" t="s">
        <v>4906</v>
      </c>
      <c r="L444" s="1884" t="s">
        <v>5081</v>
      </c>
      <c r="M444" s="1886">
        <v>44960</v>
      </c>
    </row>
    <row r="445" spans="1:13" s="1353" customFormat="1" ht="29">
      <c r="A445" s="1882">
        <f t="shared" si="1"/>
        <v>438</v>
      </c>
      <c r="B445" s="1883" t="s">
        <v>1015</v>
      </c>
      <c r="C445" s="1883" t="s">
        <v>4576</v>
      </c>
      <c r="D445" s="1884" t="s">
        <v>4578</v>
      </c>
      <c r="E445" s="1884" t="s">
        <v>5080</v>
      </c>
      <c r="F445" s="1882" t="s">
        <v>4904</v>
      </c>
      <c r="G445" s="1885">
        <v>62</v>
      </c>
      <c r="H445" s="1884" t="s">
        <v>956</v>
      </c>
      <c r="I445" s="1882" t="s">
        <v>958</v>
      </c>
      <c r="J445" s="1882" t="s">
        <v>961</v>
      </c>
      <c r="K445" s="1882" t="s">
        <v>4906</v>
      </c>
      <c r="L445" s="1884" t="s">
        <v>5081</v>
      </c>
      <c r="M445" s="1886">
        <v>44960</v>
      </c>
    </row>
    <row r="446" spans="1:13" s="1353" customFormat="1" ht="29">
      <c r="A446" s="1882">
        <f t="shared" si="1"/>
        <v>439</v>
      </c>
      <c r="B446" s="1883" t="s">
        <v>972</v>
      </c>
      <c r="C446" s="1883" t="s">
        <v>2199</v>
      </c>
      <c r="D446" s="1884" t="s">
        <v>2200</v>
      </c>
      <c r="E446" s="1884" t="s">
        <v>5080</v>
      </c>
      <c r="F446" s="1882" t="s">
        <v>4904</v>
      </c>
      <c r="G446" s="1885">
        <v>41</v>
      </c>
      <c r="H446" s="1884" t="s">
        <v>1855</v>
      </c>
      <c r="I446" s="1882" t="s">
        <v>970</v>
      </c>
      <c r="J446" s="1929">
        <v>1</v>
      </c>
      <c r="K446" s="1882">
        <v>100</v>
      </c>
      <c r="L446" s="1884" t="s">
        <v>5082</v>
      </c>
      <c r="M446" s="1886">
        <v>44973</v>
      </c>
    </row>
    <row r="447" spans="1:13" s="1353" customFormat="1" ht="29">
      <c r="A447" s="1882">
        <f t="shared" si="1"/>
        <v>440</v>
      </c>
      <c r="B447" s="1883" t="s">
        <v>1022</v>
      </c>
      <c r="C447" s="1883" t="s">
        <v>2301</v>
      </c>
      <c r="D447" s="1884" t="s">
        <v>2303</v>
      </c>
      <c r="E447" s="1884" t="s">
        <v>5080</v>
      </c>
      <c r="F447" s="1882" t="s">
        <v>4904</v>
      </c>
      <c r="G447" s="1885">
        <v>87</v>
      </c>
      <c r="H447" s="1884" t="s">
        <v>949</v>
      </c>
      <c r="I447" s="1885" t="s">
        <v>968</v>
      </c>
      <c r="J447" s="1882">
        <v>90</v>
      </c>
      <c r="K447" s="1882" t="s">
        <v>4906</v>
      </c>
      <c r="L447" s="1884" t="s">
        <v>5083</v>
      </c>
      <c r="M447" s="1886">
        <v>44974</v>
      </c>
    </row>
    <row r="448" spans="1:13" s="1353" customFormat="1" ht="29">
      <c r="A448" s="1882">
        <f t="shared" si="1"/>
        <v>441</v>
      </c>
      <c r="B448" s="1883" t="s">
        <v>1022</v>
      </c>
      <c r="C448" s="1883" t="s">
        <v>2301</v>
      </c>
      <c r="D448" s="1884" t="s">
        <v>2303</v>
      </c>
      <c r="E448" s="1884" t="s">
        <v>5080</v>
      </c>
      <c r="F448" s="1882" t="s">
        <v>4904</v>
      </c>
      <c r="G448" s="1885">
        <v>87</v>
      </c>
      <c r="H448" s="1884" t="s">
        <v>949</v>
      </c>
      <c r="I448" s="1885" t="s">
        <v>980</v>
      </c>
      <c r="J448" s="1882">
        <v>90</v>
      </c>
      <c r="K448" s="1882" t="s">
        <v>4906</v>
      </c>
      <c r="L448" s="1884" t="s">
        <v>5083</v>
      </c>
      <c r="M448" s="1886">
        <v>44974</v>
      </c>
    </row>
    <row r="449" spans="1:13" s="1353" customFormat="1" ht="29">
      <c r="A449" s="1882">
        <f t="shared" si="1"/>
        <v>442</v>
      </c>
      <c r="B449" s="1883" t="s">
        <v>1022</v>
      </c>
      <c r="C449" s="1883" t="s">
        <v>2301</v>
      </c>
      <c r="D449" s="1884" t="s">
        <v>2303</v>
      </c>
      <c r="E449" s="1884" t="s">
        <v>5080</v>
      </c>
      <c r="F449" s="1882" t="s">
        <v>4904</v>
      </c>
      <c r="G449" s="1885">
        <v>87</v>
      </c>
      <c r="H449" s="1884" t="s">
        <v>949</v>
      </c>
      <c r="I449" s="1885" t="s">
        <v>985</v>
      </c>
      <c r="J449" s="1882">
        <v>90</v>
      </c>
      <c r="K449" s="1882" t="s">
        <v>4906</v>
      </c>
      <c r="L449" s="1884" t="s">
        <v>5083</v>
      </c>
      <c r="M449" s="1886">
        <v>44974</v>
      </c>
    </row>
    <row r="450" spans="1:13" s="1353" customFormat="1" ht="29">
      <c r="A450" s="1882">
        <f t="shared" si="1"/>
        <v>443</v>
      </c>
      <c r="B450" s="1883" t="s">
        <v>1022</v>
      </c>
      <c r="C450" s="1883" t="s">
        <v>2301</v>
      </c>
      <c r="D450" s="1884" t="s">
        <v>2303</v>
      </c>
      <c r="E450" s="1884" t="s">
        <v>5080</v>
      </c>
      <c r="F450" s="1882" t="s">
        <v>4904</v>
      </c>
      <c r="G450" s="1885">
        <v>87</v>
      </c>
      <c r="H450" s="1884" t="s">
        <v>949</v>
      </c>
      <c r="I450" s="1885" t="s">
        <v>958</v>
      </c>
      <c r="J450" s="1882">
        <v>90</v>
      </c>
      <c r="K450" s="1882" t="s">
        <v>4906</v>
      </c>
      <c r="L450" s="1884" t="s">
        <v>5083</v>
      </c>
      <c r="M450" s="1886">
        <v>44974</v>
      </c>
    </row>
    <row r="451" spans="1:13" s="1353" customFormat="1" ht="14.5">
      <c r="A451" s="1882">
        <f t="shared" si="1"/>
        <v>444</v>
      </c>
      <c r="B451" s="1883" t="s">
        <v>1022</v>
      </c>
      <c r="C451" s="1883" t="s">
        <v>2301</v>
      </c>
      <c r="D451" s="1884" t="s">
        <v>2303</v>
      </c>
      <c r="E451" s="1884" t="s">
        <v>5080</v>
      </c>
      <c r="F451" s="1882" t="s">
        <v>4904</v>
      </c>
      <c r="G451" s="1885">
        <v>87</v>
      </c>
      <c r="H451" s="1884" t="s">
        <v>949</v>
      </c>
      <c r="I451" s="1885" t="s">
        <v>970</v>
      </c>
      <c r="J451" s="1882">
        <v>90</v>
      </c>
      <c r="K451" s="1882">
        <v>77</v>
      </c>
      <c r="L451" s="1884" t="s">
        <v>5084</v>
      </c>
      <c r="M451" s="1886">
        <v>44974</v>
      </c>
    </row>
    <row r="452" spans="1:13" s="1353" customFormat="1" ht="14.5">
      <c r="A452" s="1882">
        <f t="shared" si="1"/>
        <v>445</v>
      </c>
      <c r="B452" s="1883" t="s">
        <v>1008</v>
      </c>
      <c r="C452" s="1883" t="s">
        <v>4073</v>
      </c>
      <c r="D452" s="1884" t="s">
        <v>4075</v>
      </c>
      <c r="E452" s="1884" t="s">
        <v>1008</v>
      </c>
      <c r="F452" s="1882" t="s">
        <v>4904</v>
      </c>
      <c r="G452" s="1885">
        <v>87</v>
      </c>
      <c r="H452" s="1884" t="s">
        <v>949</v>
      </c>
      <c r="I452" s="1882" t="s">
        <v>968</v>
      </c>
      <c r="J452" s="1882">
        <v>4.5</v>
      </c>
      <c r="K452" s="1882">
        <v>9</v>
      </c>
      <c r="L452" s="1884" t="s">
        <v>5085</v>
      </c>
      <c r="M452" s="1886">
        <v>44995</v>
      </c>
    </row>
    <row r="453" spans="1:13" s="1353" customFormat="1" ht="14.5">
      <c r="A453" s="1882">
        <f t="shared" si="1"/>
        <v>446</v>
      </c>
      <c r="B453" s="1883" t="s">
        <v>1008</v>
      </c>
      <c r="C453" s="1883" t="s">
        <v>4073</v>
      </c>
      <c r="D453" s="1884" t="s">
        <v>4075</v>
      </c>
      <c r="E453" s="1884" t="s">
        <v>1008</v>
      </c>
      <c r="F453" s="1882" t="s">
        <v>4904</v>
      </c>
      <c r="G453" s="1885">
        <v>87</v>
      </c>
      <c r="H453" s="1884" t="s">
        <v>949</v>
      </c>
      <c r="I453" s="1882" t="s">
        <v>980</v>
      </c>
      <c r="J453" s="1882">
        <v>2</v>
      </c>
      <c r="K453" s="1882">
        <v>5.75</v>
      </c>
      <c r="L453" s="1884" t="s">
        <v>5085</v>
      </c>
      <c r="M453" s="1886">
        <v>44995</v>
      </c>
    </row>
    <row r="454" spans="1:13" s="1353" customFormat="1" ht="14.5">
      <c r="A454" s="1882">
        <f t="shared" si="1"/>
        <v>447</v>
      </c>
      <c r="B454" s="1883" t="s">
        <v>1008</v>
      </c>
      <c r="C454" s="1883" t="s">
        <v>4073</v>
      </c>
      <c r="D454" s="1884" t="s">
        <v>4075</v>
      </c>
      <c r="E454" s="1884" t="s">
        <v>1008</v>
      </c>
      <c r="F454" s="1882" t="s">
        <v>4904</v>
      </c>
      <c r="G454" s="1885">
        <v>87</v>
      </c>
      <c r="H454" s="1884" t="s">
        <v>949</v>
      </c>
      <c r="I454" s="1882" t="s">
        <v>985</v>
      </c>
      <c r="J454" s="1882">
        <v>2</v>
      </c>
      <c r="K454" s="1882">
        <v>4</v>
      </c>
      <c r="L454" s="1884" t="s">
        <v>5085</v>
      </c>
      <c r="M454" s="1886">
        <v>44995</v>
      </c>
    </row>
    <row r="455" spans="1:13" s="1353" customFormat="1" ht="14.5">
      <c r="A455" s="1882">
        <f t="shared" si="1"/>
        <v>448</v>
      </c>
      <c r="B455" s="1883" t="s">
        <v>1008</v>
      </c>
      <c r="C455" s="1883" t="s">
        <v>4073</v>
      </c>
      <c r="D455" s="1884" t="s">
        <v>4075</v>
      </c>
      <c r="E455" s="1884" t="s">
        <v>1008</v>
      </c>
      <c r="F455" s="1882" t="s">
        <v>4904</v>
      </c>
      <c r="G455" s="1885">
        <v>87</v>
      </c>
      <c r="H455" s="1884" t="s">
        <v>949</v>
      </c>
      <c r="I455" s="1882" t="s">
        <v>958</v>
      </c>
      <c r="J455" s="1882">
        <v>2</v>
      </c>
      <c r="K455" s="1882">
        <v>4</v>
      </c>
      <c r="L455" s="1884" t="s">
        <v>5085</v>
      </c>
      <c r="M455" s="1886">
        <v>44995</v>
      </c>
    </row>
    <row r="456" spans="1:13" s="1353" customFormat="1" ht="14.5">
      <c r="A456" s="1882">
        <f t="shared" si="1"/>
        <v>449</v>
      </c>
      <c r="B456" s="1883" t="s">
        <v>1008</v>
      </c>
      <c r="C456" s="1883" t="s">
        <v>4073</v>
      </c>
      <c r="D456" s="1884" t="s">
        <v>4075</v>
      </c>
      <c r="E456" s="1884" t="s">
        <v>1008</v>
      </c>
      <c r="F456" s="1882" t="s">
        <v>4904</v>
      </c>
      <c r="G456" s="1885">
        <v>87</v>
      </c>
      <c r="H456" s="1884" t="s">
        <v>949</v>
      </c>
      <c r="I456" s="1882" t="s">
        <v>970</v>
      </c>
      <c r="J456" s="1882">
        <v>4.5</v>
      </c>
      <c r="K456" s="1882">
        <v>9</v>
      </c>
      <c r="L456" s="1884" t="s">
        <v>5085</v>
      </c>
      <c r="M456" s="1886">
        <v>44995</v>
      </c>
    </row>
    <row r="457" spans="1:13" s="1353" customFormat="1" ht="14.5">
      <c r="A457" s="1882">
        <f t="shared" si="1"/>
        <v>450</v>
      </c>
      <c r="B457" s="1883" t="s">
        <v>1033</v>
      </c>
      <c r="C457" s="1883" t="s">
        <v>3056</v>
      </c>
      <c r="D457" s="1884" t="s">
        <v>2172</v>
      </c>
      <c r="E457" s="1884" t="s">
        <v>5086</v>
      </c>
      <c r="F457" s="1882" t="s">
        <v>4904</v>
      </c>
      <c r="G457" s="1885">
        <v>41</v>
      </c>
      <c r="H457" s="1884" t="s">
        <v>1855</v>
      </c>
      <c r="I457" s="1882" t="s">
        <v>980</v>
      </c>
      <c r="J457" s="1882">
        <v>43</v>
      </c>
      <c r="K457" s="1882">
        <v>37</v>
      </c>
      <c r="L457" s="1884" t="s">
        <v>5087</v>
      </c>
      <c r="M457" s="1886">
        <v>45065</v>
      </c>
    </row>
    <row r="458" spans="1:13" s="1353" customFormat="1" ht="14.5">
      <c r="A458" s="1882">
        <f t="shared" si="1"/>
        <v>451</v>
      </c>
      <c r="B458" s="1883" t="s">
        <v>1033</v>
      </c>
      <c r="C458" s="1883" t="s">
        <v>3056</v>
      </c>
      <c r="D458" s="1884" t="s">
        <v>2172</v>
      </c>
      <c r="E458" s="1884" t="s">
        <v>5086</v>
      </c>
      <c r="F458" s="1882" t="s">
        <v>4904</v>
      </c>
      <c r="G458" s="1885">
        <v>41</v>
      </c>
      <c r="H458" s="1884" t="s">
        <v>1855</v>
      </c>
      <c r="I458" s="1882" t="s">
        <v>985</v>
      </c>
      <c r="J458" s="1882">
        <v>43</v>
      </c>
      <c r="K458" s="1882">
        <v>38</v>
      </c>
      <c r="L458" s="1884" t="s">
        <v>5087</v>
      </c>
      <c r="M458" s="1886">
        <v>45065</v>
      </c>
    </row>
    <row r="459" spans="1:13" s="1353" customFormat="1" ht="14.5">
      <c r="A459" s="1882">
        <f t="shared" si="1"/>
        <v>452</v>
      </c>
      <c r="B459" s="1883" t="s">
        <v>1033</v>
      </c>
      <c r="C459" s="1883" t="s">
        <v>3056</v>
      </c>
      <c r="D459" s="1884" t="s">
        <v>2172</v>
      </c>
      <c r="E459" s="1884" t="s">
        <v>5086</v>
      </c>
      <c r="F459" s="1882" t="s">
        <v>4904</v>
      </c>
      <c r="G459" s="1885">
        <v>41</v>
      </c>
      <c r="H459" s="1884" t="s">
        <v>1855</v>
      </c>
      <c r="I459" s="1882" t="s">
        <v>958</v>
      </c>
      <c r="J459" s="1882">
        <v>44</v>
      </c>
      <c r="K459" s="1882">
        <v>39</v>
      </c>
      <c r="L459" s="1884" t="s">
        <v>5087</v>
      </c>
      <c r="M459" s="1886">
        <v>45065</v>
      </c>
    </row>
    <row r="460" spans="1:13" s="1353" customFormat="1" ht="14.5">
      <c r="A460" s="1882">
        <f t="shared" si="1"/>
        <v>453</v>
      </c>
      <c r="B460" s="1883" t="s">
        <v>1033</v>
      </c>
      <c r="C460" s="1883" t="s">
        <v>3056</v>
      </c>
      <c r="D460" s="1884" t="s">
        <v>2172</v>
      </c>
      <c r="E460" s="1884" t="s">
        <v>5086</v>
      </c>
      <c r="F460" s="1882" t="s">
        <v>4904</v>
      </c>
      <c r="G460" s="1885">
        <v>41</v>
      </c>
      <c r="H460" s="1884" t="s">
        <v>1855</v>
      </c>
      <c r="I460" s="1882" t="s">
        <v>970</v>
      </c>
      <c r="J460" s="1882">
        <v>60</v>
      </c>
      <c r="K460" s="1882">
        <v>65</v>
      </c>
      <c r="L460" s="1884" t="s">
        <v>5087</v>
      </c>
      <c r="M460" s="1886">
        <v>45065</v>
      </c>
    </row>
    <row r="461" spans="1:13" s="1353" customFormat="1" ht="14.5">
      <c r="A461" s="1882">
        <f t="shared" si="1"/>
        <v>454</v>
      </c>
      <c r="B461" s="1883" t="s">
        <v>1008</v>
      </c>
      <c r="C461" s="1883" t="s">
        <v>3991</v>
      </c>
      <c r="D461" s="1884" t="s">
        <v>3993</v>
      </c>
      <c r="E461" s="1884" t="s">
        <v>1008</v>
      </c>
      <c r="F461" s="1882" t="s">
        <v>4904</v>
      </c>
      <c r="G461" s="1885">
        <v>87</v>
      </c>
      <c r="H461" s="1884" t="s">
        <v>1861</v>
      </c>
      <c r="I461" s="1882" t="s">
        <v>968</v>
      </c>
      <c r="J461" s="1920">
        <v>0</v>
      </c>
      <c r="K461" s="1920"/>
      <c r="L461" s="1884" t="s">
        <v>5088</v>
      </c>
      <c r="M461" s="1886">
        <v>45065</v>
      </c>
    </row>
    <row r="462" spans="1:13" s="1353" customFormat="1" ht="14.5">
      <c r="A462" s="1882">
        <f t="shared" si="1"/>
        <v>455</v>
      </c>
      <c r="B462" s="1883" t="s">
        <v>1008</v>
      </c>
      <c r="C462" s="1883" t="s">
        <v>3991</v>
      </c>
      <c r="D462" s="1884" t="s">
        <v>3993</v>
      </c>
      <c r="E462" s="1884" t="s">
        <v>1008</v>
      </c>
      <c r="F462" s="1882" t="s">
        <v>4904</v>
      </c>
      <c r="G462" s="1885">
        <v>87</v>
      </c>
      <c r="H462" s="1884" t="s">
        <v>1861</v>
      </c>
      <c r="I462" s="1882" t="s">
        <v>980</v>
      </c>
      <c r="J462" s="1920">
        <v>3600</v>
      </c>
      <c r="K462" s="1920"/>
      <c r="L462" s="1884" t="s">
        <v>5088</v>
      </c>
      <c r="M462" s="1886">
        <v>45065</v>
      </c>
    </row>
    <row r="463" spans="1:13" s="1353" customFormat="1" ht="14.5">
      <c r="A463" s="1882">
        <f t="shared" si="1"/>
        <v>456</v>
      </c>
      <c r="B463" s="1883" t="s">
        <v>1008</v>
      </c>
      <c r="C463" s="1883" t="s">
        <v>3991</v>
      </c>
      <c r="D463" s="1884" t="s">
        <v>3993</v>
      </c>
      <c r="E463" s="1884" t="s">
        <v>1008</v>
      </c>
      <c r="F463" s="1882" t="s">
        <v>4904</v>
      </c>
      <c r="G463" s="1885">
        <v>87</v>
      </c>
      <c r="H463" s="1884" t="s">
        <v>1861</v>
      </c>
      <c r="I463" s="1882" t="s">
        <v>985</v>
      </c>
      <c r="J463" s="1920">
        <v>3500</v>
      </c>
      <c r="K463" s="1920"/>
      <c r="L463" s="1884" t="s">
        <v>5088</v>
      </c>
      <c r="M463" s="1886">
        <v>45065</v>
      </c>
    </row>
    <row r="464" spans="1:13" s="1353" customFormat="1" ht="14.5">
      <c r="A464" s="1882">
        <f t="shared" si="1"/>
        <v>457</v>
      </c>
      <c r="B464" s="1883" t="s">
        <v>1008</v>
      </c>
      <c r="C464" s="1883" t="s">
        <v>3991</v>
      </c>
      <c r="D464" s="1884" t="s">
        <v>3993</v>
      </c>
      <c r="E464" s="1884" t="s">
        <v>1008</v>
      </c>
      <c r="F464" s="1882" t="s">
        <v>4904</v>
      </c>
      <c r="G464" s="1885">
        <v>87</v>
      </c>
      <c r="H464" s="1884" t="s">
        <v>1861</v>
      </c>
      <c r="I464" s="1882" t="s">
        <v>958</v>
      </c>
      <c r="J464" s="1920">
        <v>3500</v>
      </c>
      <c r="K464" s="1920"/>
      <c r="L464" s="1884" t="s">
        <v>5088</v>
      </c>
      <c r="M464" s="1886">
        <v>45065</v>
      </c>
    </row>
    <row r="465" spans="1:13" s="1353" customFormat="1" ht="14.5">
      <c r="A465" s="1882">
        <f t="shared" si="1"/>
        <v>458</v>
      </c>
      <c r="B465" s="1883" t="s">
        <v>1008</v>
      </c>
      <c r="C465" s="1883" t="s">
        <v>3991</v>
      </c>
      <c r="D465" s="1884" t="s">
        <v>3993</v>
      </c>
      <c r="E465" s="1884" t="s">
        <v>1008</v>
      </c>
      <c r="F465" s="1882" t="s">
        <v>4904</v>
      </c>
      <c r="G465" s="1885">
        <v>87</v>
      </c>
      <c r="H465" s="1884" t="s">
        <v>1861</v>
      </c>
      <c r="I465" s="1882" t="s">
        <v>970</v>
      </c>
      <c r="J465" s="1920">
        <v>3500</v>
      </c>
      <c r="K465" s="1920">
        <v>14100</v>
      </c>
      <c r="L465" s="1884" t="s">
        <v>5088</v>
      </c>
      <c r="M465" s="1886">
        <v>45065</v>
      </c>
    </row>
    <row r="466" spans="1:13" s="1353" customFormat="1" ht="44.25" customHeight="1">
      <c r="A466" s="1882">
        <f t="shared" si="1"/>
        <v>459</v>
      </c>
      <c r="B466" s="1883" t="s">
        <v>1008</v>
      </c>
      <c r="C466" s="1883" t="s">
        <v>1155</v>
      </c>
      <c r="D466" s="1884" t="s">
        <v>1154</v>
      </c>
      <c r="E466" s="1884" t="s">
        <v>1008</v>
      </c>
      <c r="F466" s="1882" t="s">
        <v>4904</v>
      </c>
      <c r="G466" s="1885">
        <v>41</v>
      </c>
      <c r="H466" s="1884" t="s">
        <v>1855</v>
      </c>
      <c r="I466" s="1882" t="s">
        <v>968</v>
      </c>
      <c r="J466" s="1885" t="s">
        <v>5089</v>
      </c>
      <c r="K466" s="1882">
        <v>1</v>
      </c>
      <c r="L466" s="1884" t="s">
        <v>5090</v>
      </c>
      <c r="M466" s="1886">
        <v>45065</v>
      </c>
    </row>
    <row r="467" spans="1:13" s="1353" customFormat="1" ht="45.75" customHeight="1">
      <c r="A467" s="1882">
        <f t="shared" si="1"/>
        <v>460</v>
      </c>
      <c r="B467" s="1883" t="s">
        <v>1008</v>
      </c>
      <c r="C467" s="1883" t="s">
        <v>1155</v>
      </c>
      <c r="D467" s="1884" t="s">
        <v>1154</v>
      </c>
      <c r="E467" s="1884" t="s">
        <v>1008</v>
      </c>
      <c r="F467" s="1882" t="s">
        <v>4904</v>
      </c>
      <c r="G467" s="1885">
        <v>41</v>
      </c>
      <c r="H467" s="1884" t="s">
        <v>1855</v>
      </c>
      <c r="I467" s="1882" t="s">
        <v>985</v>
      </c>
      <c r="J467" s="1885" t="s">
        <v>5091</v>
      </c>
      <c r="K467" s="1882">
        <v>1</v>
      </c>
      <c r="L467" s="1884" t="s">
        <v>5092</v>
      </c>
      <c r="M467" s="1886">
        <v>45065</v>
      </c>
    </row>
    <row r="468" spans="1:13" s="1353" customFormat="1" ht="46.5" customHeight="1">
      <c r="A468" s="1882">
        <f t="shared" si="1"/>
        <v>461</v>
      </c>
      <c r="B468" s="1883" t="s">
        <v>1008</v>
      </c>
      <c r="C468" s="1883" t="s">
        <v>1155</v>
      </c>
      <c r="D468" s="1884" t="s">
        <v>1154</v>
      </c>
      <c r="E468" s="1884" t="s">
        <v>1008</v>
      </c>
      <c r="F468" s="1882" t="s">
        <v>4904</v>
      </c>
      <c r="G468" s="1885">
        <v>41</v>
      </c>
      <c r="H468" s="1884" t="s">
        <v>1855</v>
      </c>
      <c r="I468" s="1882" t="s">
        <v>958</v>
      </c>
      <c r="J468" s="1885" t="s">
        <v>5093</v>
      </c>
      <c r="K468" s="1882">
        <v>1</v>
      </c>
      <c r="L468" s="1884" t="s">
        <v>5092</v>
      </c>
      <c r="M468" s="1886">
        <v>45065</v>
      </c>
    </row>
    <row r="469" spans="1:13" s="1353" customFormat="1" ht="89.25" customHeight="1">
      <c r="A469" s="1882">
        <f t="shared" si="1"/>
        <v>462</v>
      </c>
      <c r="B469" s="1883" t="s">
        <v>1008</v>
      </c>
      <c r="C469" s="1883" t="s">
        <v>1161</v>
      </c>
      <c r="D469" s="1884" t="s">
        <v>1160</v>
      </c>
      <c r="E469" s="1884" t="s">
        <v>1008</v>
      </c>
      <c r="F469" s="1882" t="s">
        <v>4904</v>
      </c>
      <c r="G469" s="1885">
        <v>41</v>
      </c>
      <c r="H469" s="1884" t="s">
        <v>1855</v>
      </c>
      <c r="I469" s="1882" t="s">
        <v>958</v>
      </c>
      <c r="J469" s="1885" t="s">
        <v>5094</v>
      </c>
      <c r="K469" s="1882">
        <v>1</v>
      </c>
      <c r="L469" s="1884" t="s">
        <v>5092</v>
      </c>
      <c r="M469" s="1886">
        <v>45065</v>
      </c>
    </row>
    <row r="470" spans="1:13" s="1353" customFormat="1" ht="14.5">
      <c r="A470" s="1861">
        <f t="shared" si="1"/>
        <v>463</v>
      </c>
      <c r="B470" s="1862"/>
      <c r="C470" s="1862"/>
      <c r="D470" s="1863"/>
      <c r="E470" s="1863"/>
      <c r="F470" s="1861"/>
      <c r="G470" s="1864"/>
      <c r="H470" s="1863"/>
      <c r="I470" s="1861"/>
      <c r="J470" s="1861"/>
      <c r="K470" s="1861"/>
      <c r="L470" s="1863"/>
      <c r="M470" s="1865"/>
    </row>
    <row r="471" spans="1:13" s="1353" customFormat="1" ht="14.5">
      <c r="A471" s="1861">
        <f t="shared" si="1"/>
        <v>464</v>
      </c>
      <c r="B471" s="1862"/>
      <c r="C471" s="1862"/>
      <c r="D471" s="1863"/>
      <c r="E471" s="1863"/>
      <c r="F471" s="1861"/>
      <c r="G471" s="1864"/>
      <c r="H471" s="1863"/>
      <c r="I471" s="1861"/>
      <c r="J471" s="1861"/>
      <c r="K471" s="1861"/>
      <c r="L471" s="1863"/>
      <c r="M471" s="1865"/>
    </row>
    <row r="472" spans="1:13" s="1353" customFormat="1" ht="14.5">
      <c r="A472" s="1861">
        <f t="shared" si="1"/>
        <v>465</v>
      </c>
      <c r="B472" s="1862"/>
      <c r="C472" s="1862"/>
      <c r="D472" s="1863"/>
      <c r="E472" s="1863"/>
      <c r="F472" s="1861"/>
      <c r="G472" s="1864"/>
      <c r="H472" s="1863"/>
      <c r="I472" s="1861"/>
      <c r="J472" s="1861"/>
      <c r="K472" s="1861"/>
      <c r="L472" s="1863"/>
      <c r="M472" s="1865"/>
    </row>
    <row r="473" spans="1:13" s="1353" customFormat="1" ht="14.5">
      <c r="A473" s="1861">
        <f t="shared" si="1"/>
        <v>466</v>
      </c>
      <c r="B473" s="1862"/>
      <c r="C473" s="1862"/>
      <c r="D473" s="1863"/>
      <c r="E473" s="1863"/>
      <c r="F473" s="1861"/>
      <c r="G473" s="1864"/>
      <c r="H473" s="1863"/>
      <c r="I473" s="1861"/>
      <c r="J473" s="1861"/>
      <c r="K473" s="1861"/>
      <c r="L473" s="1863"/>
      <c r="M473" s="1865"/>
    </row>
    <row r="474" spans="1:13" s="1353" customFormat="1" ht="14.5">
      <c r="A474" s="1861">
        <f t="shared" si="1"/>
        <v>467</v>
      </c>
      <c r="B474" s="1862"/>
      <c r="C474" s="1862"/>
      <c r="D474" s="1863"/>
      <c r="E474" s="1863"/>
      <c r="F474" s="1861"/>
      <c r="G474" s="1864"/>
      <c r="H474" s="1863"/>
      <c r="I474" s="1861"/>
      <c r="J474" s="1861"/>
      <c r="K474" s="1861"/>
      <c r="L474" s="1863"/>
      <c r="M474" s="1865"/>
    </row>
    <row r="475" spans="1:13" s="1353" customFormat="1" ht="14.5">
      <c r="A475" s="1861">
        <f t="shared" si="1"/>
        <v>468</v>
      </c>
      <c r="B475" s="1862"/>
      <c r="C475" s="1862"/>
      <c r="D475" s="1863"/>
      <c r="E475" s="1863"/>
      <c r="F475" s="1861"/>
      <c r="G475" s="1864"/>
      <c r="H475" s="1863"/>
      <c r="I475" s="1861"/>
      <c r="J475" s="1861"/>
      <c r="K475" s="1861"/>
      <c r="L475" s="1863"/>
      <c r="M475" s="1865"/>
    </row>
    <row r="476" spans="1:13" s="1353" customFormat="1" ht="14.5">
      <c r="A476" s="1861">
        <f t="shared" si="1"/>
        <v>469</v>
      </c>
      <c r="B476" s="1862"/>
      <c r="C476" s="1862"/>
      <c r="D476" s="1863"/>
      <c r="E476" s="1863"/>
      <c r="F476" s="1861"/>
      <c r="G476" s="1864"/>
      <c r="H476" s="1863"/>
      <c r="I476" s="1861"/>
      <c r="J476" s="1861"/>
      <c r="K476" s="1861"/>
      <c r="L476" s="1863"/>
      <c r="M476" s="1865"/>
    </row>
    <row r="477" spans="1:13" s="1353" customFormat="1" ht="14.5">
      <c r="A477" s="1861">
        <f t="shared" si="1"/>
        <v>470</v>
      </c>
      <c r="B477" s="1862"/>
      <c r="C477" s="1862"/>
      <c r="D477" s="1863"/>
      <c r="E477" s="1863"/>
      <c r="F477" s="1861"/>
      <c r="G477" s="1864"/>
      <c r="H477" s="1863"/>
      <c r="I477" s="1861"/>
      <c r="J477" s="1861"/>
      <c r="K477" s="1861"/>
      <c r="L477" s="1863"/>
      <c r="M477" s="1865"/>
    </row>
    <row r="478" spans="1:13" s="1353" customFormat="1" ht="14.5">
      <c r="A478" s="1861">
        <f t="shared" si="1"/>
        <v>471</v>
      </c>
      <c r="B478" s="1862"/>
      <c r="C478" s="1862"/>
      <c r="D478" s="1863"/>
      <c r="E478" s="1863"/>
      <c r="F478" s="1861"/>
      <c r="G478" s="1864"/>
      <c r="H478" s="1863"/>
      <c r="I478" s="1861"/>
      <c r="J478" s="1861"/>
      <c r="K478" s="1861"/>
      <c r="L478" s="1863"/>
      <c r="M478" s="1865"/>
    </row>
    <row r="479" spans="1:13" s="1353" customFormat="1" ht="14.5">
      <c r="A479" s="1861">
        <f t="shared" si="1"/>
        <v>472</v>
      </c>
      <c r="B479" s="1862"/>
      <c r="C479" s="1862"/>
      <c r="D479" s="1863"/>
      <c r="E479" s="1863"/>
      <c r="F479" s="1861"/>
      <c r="G479" s="1864"/>
      <c r="H479" s="1863"/>
      <c r="I479" s="1861"/>
      <c r="J479" s="1861"/>
      <c r="K479" s="1861"/>
      <c r="L479" s="1863"/>
      <c r="M479" s="1865"/>
    </row>
    <row r="480" spans="1:13" s="1353" customFormat="1" ht="14.5">
      <c r="A480" s="1861">
        <f t="shared" si="1"/>
        <v>473</v>
      </c>
      <c r="B480" s="1862"/>
      <c r="C480" s="1862"/>
      <c r="D480" s="1863"/>
      <c r="E480" s="1863"/>
      <c r="F480" s="1861"/>
      <c r="G480" s="1864"/>
      <c r="H480" s="1863"/>
      <c r="I480" s="1861"/>
      <c r="J480" s="1861"/>
      <c r="K480" s="1861"/>
      <c r="L480" s="1863"/>
      <c r="M480" s="1865"/>
    </row>
    <row r="481" spans="1:13" s="1353" customFormat="1" ht="14.5">
      <c r="A481" s="1861">
        <f t="shared" si="1"/>
        <v>474</v>
      </c>
      <c r="B481" s="1862"/>
      <c r="C481" s="1862"/>
      <c r="D481" s="1863"/>
      <c r="E481" s="1863"/>
      <c r="F481" s="1861"/>
      <c r="G481" s="1864"/>
      <c r="H481" s="1863"/>
      <c r="I481" s="1861"/>
      <c r="J481" s="1861"/>
      <c r="K481" s="1861"/>
      <c r="L481" s="1863"/>
      <c r="M481" s="1865"/>
    </row>
    <row r="482" spans="1:13" s="1353" customFormat="1" ht="14.5">
      <c r="A482" s="1861">
        <f t="shared" si="1"/>
        <v>475</v>
      </c>
      <c r="B482" s="1862"/>
      <c r="C482" s="1862"/>
      <c r="D482" s="1863"/>
      <c r="E482" s="1863"/>
      <c r="F482" s="1861"/>
      <c r="G482" s="1864"/>
      <c r="H482" s="1863"/>
      <c r="I482" s="1861"/>
      <c r="J482" s="1861"/>
      <c r="K482" s="1861"/>
      <c r="L482" s="1863"/>
      <c r="M482" s="1865"/>
    </row>
    <row r="483" spans="1:13" s="1353" customFormat="1" ht="14.5">
      <c r="A483" s="1861">
        <f t="shared" si="1"/>
        <v>476</v>
      </c>
      <c r="B483" s="1862"/>
      <c r="C483" s="1862"/>
      <c r="D483" s="1863"/>
      <c r="E483" s="1863"/>
      <c r="F483" s="1861"/>
      <c r="G483" s="1864"/>
      <c r="H483" s="1863"/>
      <c r="I483" s="1861"/>
      <c r="J483" s="1861"/>
      <c r="K483" s="1861"/>
      <c r="L483" s="1863"/>
      <c r="M483" s="1865"/>
    </row>
    <row r="484" spans="1:13" s="1353" customFormat="1" ht="14.5">
      <c r="A484" s="1861">
        <f t="shared" si="1"/>
        <v>477</v>
      </c>
      <c r="B484" s="1862"/>
      <c r="C484" s="1862"/>
      <c r="D484" s="1863"/>
      <c r="E484" s="1863"/>
      <c r="F484" s="1861"/>
      <c r="G484" s="1864"/>
      <c r="H484" s="1863"/>
      <c r="I484" s="1861"/>
      <c r="J484" s="1861"/>
      <c r="K484" s="1861"/>
      <c r="L484" s="1863"/>
      <c r="M484" s="1865"/>
    </row>
    <row r="485" spans="1:13" s="1353" customFormat="1" ht="14.5">
      <c r="A485" s="1861">
        <f t="shared" si="1"/>
        <v>478</v>
      </c>
      <c r="B485" s="1862"/>
      <c r="C485" s="1862"/>
      <c r="D485" s="1863"/>
      <c r="E485" s="1863"/>
      <c r="F485" s="1861"/>
      <c r="G485" s="1864"/>
      <c r="H485" s="1863"/>
      <c r="I485" s="1861"/>
      <c r="J485" s="1861"/>
      <c r="K485" s="1861"/>
      <c r="L485" s="1863"/>
      <c r="M485" s="1865"/>
    </row>
    <row r="486" spans="1:13" s="1353" customFormat="1" ht="14.5">
      <c r="A486" s="1861">
        <f t="shared" si="1"/>
        <v>479</v>
      </c>
      <c r="B486" s="1862"/>
      <c r="C486" s="1862"/>
      <c r="D486" s="1863"/>
      <c r="E486" s="1863"/>
      <c r="F486" s="1861"/>
      <c r="G486" s="1864"/>
      <c r="H486" s="1863"/>
      <c r="I486" s="1861"/>
      <c r="J486" s="1861"/>
      <c r="K486" s="1861"/>
      <c r="L486" s="1863"/>
      <c r="M486" s="1865"/>
    </row>
    <row r="487" spans="1:13" s="1353" customFormat="1" ht="14.5">
      <c r="A487" s="1861">
        <f t="shared" si="1"/>
        <v>480</v>
      </c>
      <c r="B487" s="1862"/>
      <c r="C487" s="1862"/>
      <c r="D487" s="1863"/>
      <c r="E487" s="1863"/>
      <c r="F487" s="1861"/>
      <c r="G487" s="1864"/>
      <c r="H487" s="1863"/>
      <c r="I487" s="1861"/>
      <c r="J487" s="1861"/>
      <c r="K487" s="1861"/>
      <c r="L487" s="1863"/>
      <c r="M487" s="1865"/>
    </row>
    <row r="488" spans="1:13" s="1353" customFormat="1" ht="14.5">
      <c r="A488" s="1861">
        <f t="shared" si="1"/>
        <v>481</v>
      </c>
      <c r="B488" s="1862"/>
      <c r="C488" s="1862"/>
      <c r="D488" s="1863"/>
      <c r="E488" s="1863"/>
      <c r="F488" s="1861"/>
      <c r="G488" s="1864"/>
      <c r="H488" s="1863"/>
      <c r="I488" s="1861"/>
      <c r="J488" s="1861"/>
      <c r="K488" s="1861"/>
      <c r="L488" s="1863"/>
      <c r="M488" s="1865"/>
    </row>
    <row r="489" spans="1:13" s="1353" customFormat="1" ht="14.5">
      <c r="A489" s="1861">
        <f t="shared" si="1"/>
        <v>482</v>
      </c>
      <c r="B489" s="1862"/>
      <c r="C489" s="1862"/>
      <c r="D489" s="1863"/>
      <c r="E489" s="1863"/>
      <c r="F489" s="1861"/>
      <c r="G489" s="1864"/>
      <c r="H489" s="1863"/>
      <c r="I489" s="1861"/>
      <c r="J489" s="1861"/>
      <c r="K489" s="1861"/>
      <c r="L489" s="1863"/>
      <c r="M489" s="1865"/>
    </row>
    <row r="490" spans="1:13" s="1353" customFormat="1" ht="14.5">
      <c r="A490" s="1861">
        <f t="shared" ref="A490:A506" si="2">A489+1</f>
        <v>483</v>
      </c>
      <c r="B490" s="1862"/>
      <c r="C490" s="1862"/>
      <c r="D490" s="1863"/>
      <c r="E490" s="1863"/>
      <c r="F490" s="1861"/>
      <c r="G490" s="1864"/>
      <c r="H490" s="1863"/>
      <c r="I490" s="1861"/>
      <c r="J490" s="1861"/>
      <c r="K490" s="1861"/>
      <c r="L490" s="1863"/>
      <c r="M490" s="1865"/>
    </row>
    <row r="491" spans="1:13" s="1353" customFormat="1" ht="14.5">
      <c r="A491" s="1861">
        <f t="shared" si="2"/>
        <v>484</v>
      </c>
      <c r="B491" s="1862"/>
      <c r="C491" s="1862"/>
      <c r="D491" s="1863"/>
      <c r="E491" s="1863"/>
      <c r="F491" s="1861"/>
      <c r="G491" s="1864"/>
      <c r="H491" s="1863"/>
      <c r="I491" s="1861"/>
      <c r="J491" s="1861"/>
      <c r="K491" s="1861"/>
      <c r="L491" s="1863"/>
      <c r="M491" s="1865"/>
    </row>
    <row r="492" spans="1:13" s="1353" customFormat="1" ht="14.5">
      <c r="A492" s="1861">
        <f t="shared" si="2"/>
        <v>485</v>
      </c>
      <c r="B492" s="1862"/>
      <c r="C492" s="1862"/>
      <c r="D492" s="1863"/>
      <c r="E492" s="1863"/>
      <c r="F492" s="1861"/>
      <c r="G492" s="1864"/>
      <c r="H492" s="1863"/>
      <c r="I492" s="1861"/>
      <c r="J492" s="1861"/>
      <c r="K492" s="1861"/>
      <c r="L492" s="1863"/>
      <c r="M492" s="1865"/>
    </row>
    <row r="493" spans="1:13" s="1353" customFormat="1" ht="14.5">
      <c r="A493" s="1861">
        <f t="shared" si="2"/>
        <v>486</v>
      </c>
      <c r="B493" s="1862"/>
      <c r="C493" s="1862"/>
      <c r="D493" s="1863"/>
      <c r="E493" s="1863"/>
      <c r="F493" s="1861"/>
      <c r="G493" s="1864"/>
      <c r="H493" s="1863"/>
      <c r="I493" s="1861"/>
      <c r="J493" s="1861"/>
      <c r="K493" s="1861"/>
      <c r="L493" s="1863"/>
      <c r="M493" s="1865"/>
    </row>
    <row r="494" spans="1:13" s="1353" customFormat="1" ht="14.5">
      <c r="A494" s="1861">
        <f t="shared" si="2"/>
        <v>487</v>
      </c>
      <c r="B494" s="1862"/>
      <c r="C494" s="1862"/>
      <c r="D494" s="1863"/>
      <c r="E494" s="1863"/>
      <c r="F494" s="1861"/>
      <c r="G494" s="1864"/>
      <c r="H494" s="1863"/>
      <c r="I494" s="1861"/>
      <c r="J494" s="1861"/>
      <c r="K494" s="1861"/>
      <c r="L494" s="1863"/>
      <c r="M494" s="1865"/>
    </row>
    <row r="495" spans="1:13" s="1353" customFormat="1" ht="14.5">
      <c r="A495" s="1861">
        <f t="shared" si="2"/>
        <v>488</v>
      </c>
      <c r="B495" s="1862"/>
      <c r="C495" s="1862"/>
      <c r="D495" s="1863"/>
      <c r="E495" s="1863"/>
      <c r="F495" s="1861"/>
      <c r="G495" s="1864"/>
      <c r="H495" s="1863"/>
      <c r="I495" s="1861"/>
      <c r="J495" s="1861"/>
      <c r="K495" s="1861"/>
      <c r="L495" s="1863"/>
      <c r="M495" s="1865"/>
    </row>
    <row r="496" spans="1:13" s="1353" customFormat="1" ht="14.5">
      <c r="A496" s="1861">
        <f t="shared" si="2"/>
        <v>489</v>
      </c>
      <c r="B496" s="1862"/>
      <c r="C496" s="1862"/>
      <c r="D496" s="1863"/>
      <c r="E496" s="1863"/>
      <c r="F496" s="1861"/>
      <c r="G496" s="1864"/>
      <c r="H496" s="1863"/>
      <c r="I496" s="1861"/>
      <c r="J496" s="1861"/>
      <c r="K496" s="1861"/>
      <c r="L496" s="1863"/>
      <c r="M496" s="1865"/>
    </row>
    <row r="497" spans="1:13" s="1353" customFormat="1" ht="14.5">
      <c r="A497" s="1861">
        <f t="shared" si="2"/>
        <v>490</v>
      </c>
      <c r="B497" s="1862"/>
      <c r="C497" s="1862"/>
      <c r="D497" s="1863"/>
      <c r="E497" s="1863"/>
      <c r="F497" s="1861"/>
      <c r="G497" s="1864"/>
      <c r="H497" s="1863"/>
      <c r="I497" s="1861"/>
      <c r="J497" s="1861"/>
      <c r="K497" s="1861"/>
      <c r="L497" s="1863"/>
      <c r="M497" s="1865"/>
    </row>
    <row r="498" spans="1:13" s="1353" customFormat="1" ht="14.5">
      <c r="A498" s="1861">
        <f t="shared" si="2"/>
        <v>491</v>
      </c>
      <c r="B498" s="1862"/>
      <c r="C498" s="1862"/>
      <c r="D498" s="1863"/>
      <c r="E498" s="1863"/>
      <c r="F498" s="1861"/>
      <c r="G498" s="1864"/>
      <c r="H498" s="1863"/>
      <c r="I498" s="1861"/>
      <c r="J498" s="1861"/>
      <c r="K498" s="1861"/>
      <c r="L498" s="1863"/>
      <c r="M498" s="1865"/>
    </row>
    <row r="499" spans="1:13" s="1353" customFormat="1" ht="14.5">
      <c r="A499" s="1861">
        <f t="shared" si="2"/>
        <v>492</v>
      </c>
      <c r="B499" s="1862"/>
      <c r="C499" s="1862"/>
      <c r="D499" s="1863"/>
      <c r="E499" s="1863"/>
      <c r="F499" s="1861"/>
      <c r="G499" s="1864"/>
      <c r="H499" s="1863"/>
      <c r="I499" s="1861"/>
      <c r="J499" s="1861"/>
      <c r="K499" s="1861"/>
      <c r="L499" s="1863"/>
      <c r="M499" s="1865"/>
    </row>
    <row r="500" spans="1:13" s="1353" customFormat="1" ht="14.5">
      <c r="A500" s="1861">
        <f t="shared" si="2"/>
        <v>493</v>
      </c>
      <c r="B500" s="1862"/>
      <c r="C500" s="1862"/>
      <c r="D500" s="1863"/>
      <c r="E500" s="1863"/>
      <c r="F500" s="1861"/>
      <c r="G500" s="1864"/>
      <c r="H500" s="1863"/>
      <c r="I500" s="1861"/>
      <c r="J500" s="1861"/>
      <c r="K500" s="1861"/>
      <c r="L500" s="1863"/>
      <c r="M500" s="1865"/>
    </row>
    <row r="501" spans="1:13" s="1353" customFormat="1" ht="14.5">
      <c r="A501" s="1861">
        <f t="shared" si="2"/>
        <v>494</v>
      </c>
      <c r="B501" s="1862"/>
      <c r="C501" s="1862"/>
      <c r="D501" s="1863"/>
      <c r="E501" s="1863"/>
      <c r="F501" s="1861"/>
      <c r="G501" s="1864"/>
      <c r="H501" s="1863"/>
      <c r="I501" s="1861"/>
      <c r="J501" s="1861"/>
      <c r="K501" s="1861"/>
      <c r="L501" s="1863"/>
      <c r="M501" s="1865"/>
    </row>
    <row r="502" spans="1:13" s="1353" customFormat="1" ht="14.5">
      <c r="A502" s="1861">
        <f t="shared" si="2"/>
        <v>495</v>
      </c>
      <c r="B502" s="1862"/>
      <c r="C502" s="1862"/>
      <c r="D502" s="1863"/>
      <c r="E502" s="1863"/>
      <c r="F502" s="1861"/>
      <c r="G502" s="1864"/>
      <c r="H502" s="1863"/>
      <c r="I502" s="1861"/>
      <c r="J502" s="1861"/>
      <c r="K502" s="1861"/>
      <c r="L502" s="1863"/>
      <c r="M502" s="1865"/>
    </row>
    <row r="503" spans="1:13" s="1353" customFormat="1" ht="14.5">
      <c r="A503" s="1861">
        <f t="shared" si="2"/>
        <v>496</v>
      </c>
      <c r="B503" s="1862"/>
      <c r="C503" s="1862"/>
      <c r="D503" s="1863"/>
      <c r="E503" s="1863"/>
      <c r="F503" s="1861"/>
      <c r="G503" s="1864"/>
      <c r="H503" s="1863"/>
      <c r="I503" s="1861"/>
      <c r="J503" s="1861"/>
      <c r="K503" s="1861"/>
      <c r="L503" s="1863"/>
      <c r="M503" s="1865"/>
    </row>
    <row r="504" spans="1:13" s="1353" customFormat="1" ht="14.5">
      <c r="A504" s="1861">
        <f t="shared" si="2"/>
        <v>497</v>
      </c>
      <c r="B504" s="1862"/>
      <c r="C504" s="1862"/>
      <c r="D504" s="1863"/>
      <c r="E504" s="1863"/>
      <c r="F504" s="1861"/>
      <c r="G504" s="1864"/>
      <c r="H504" s="1863"/>
      <c r="I504" s="1861"/>
      <c r="J504" s="1861"/>
      <c r="K504" s="1861"/>
      <c r="L504" s="1863"/>
      <c r="M504" s="1865"/>
    </row>
    <row r="505" spans="1:13" s="1353" customFormat="1" ht="14.5">
      <c r="A505" s="1861">
        <f t="shared" si="2"/>
        <v>498</v>
      </c>
      <c r="B505" s="1862"/>
      <c r="C505" s="1862"/>
      <c r="D505" s="1863"/>
      <c r="E505" s="1863"/>
      <c r="F505" s="1861"/>
      <c r="G505" s="1864"/>
      <c r="H505" s="1863"/>
      <c r="I505" s="1861"/>
      <c r="J505" s="1861"/>
      <c r="K505" s="1861"/>
      <c r="L505" s="1863"/>
      <c r="M505" s="1865"/>
    </row>
    <row r="506" spans="1:13" s="1353" customFormat="1" ht="14.5">
      <c r="A506" s="1861">
        <f t="shared" si="2"/>
        <v>499</v>
      </c>
      <c r="B506" s="1862"/>
      <c r="C506" s="1862"/>
      <c r="D506" s="1863"/>
      <c r="E506" s="1863"/>
      <c r="F506" s="1861"/>
      <c r="G506" s="1864"/>
      <c r="H506" s="1863"/>
      <c r="I506" s="1861"/>
      <c r="J506" s="1861"/>
      <c r="K506" s="1861"/>
      <c r="L506" s="1863"/>
      <c r="M506" s="1865"/>
    </row>
    <row r="507" spans="1:13" s="1353" customFormat="1" ht="14.5">
      <c r="B507" s="1506"/>
      <c r="D507" s="2151"/>
      <c r="E507" s="2151"/>
      <c r="F507" s="1551"/>
      <c r="G507" s="1551"/>
      <c r="H507" s="1551"/>
      <c r="I507" s="1551"/>
      <c r="J507" s="1551"/>
      <c r="K507" s="1551"/>
      <c r="L507" s="2151"/>
    </row>
    <row r="508" spans="1:13" s="1353" customFormat="1" ht="14.5">
      <c r="B508" s="1506"/>
      <c r="D508" s="2151"/>
      <c r="E508" s="2151"/>
      <c r="F508" s="1551"/>
      <c r="G508" s="1551"/>
      <c r="H508" s="1551"/>
      <c r="I508" s="1551"/>
      <c r="J508" s="1551"/>
      <c r="K508" s="1551"/>
      <c r="L508" s="2151"/>
    </row>
    <row r="509" spans="1:13" s="1353" customFormat="1" ht="14.5">
      <c r="B509" s="1506"/>
      <c r="D509" s="2151"/>
      <c r="E509" s="2151"/>
      <c r="F509" s="1551"/>
      <c r="G509" s="1551"/>
      <c r="H509" s="1551"/>
      <c r="I509" s="1551"/>
      <c r="J509" s="1551"/>
      <c r="K509" s="1551"/>
      <c r="L509" s="2151"/>
    </row>
    <row r="510" spans="1:13" s="1353" customFormat="1" ht="14.5">
      <c r="B510" s="1506"/>
      <c r="D510" s="2151"/>
      <c r="E510" s="2151"/>
      <c r="F510" s="1551"/>
      <c r="G510" s="1551"/>
      <c r="H510" s="1551"/>
      <c r="I510" s="1551"/>
      <c r="J510" s="1551"/>
      <c r="K510" s="1551"/>
      <c r="L510" s="2151"/>
    </row>
    <row r="511" spans="1:13" s="1353" customFormat="1" ht="14.5">
      <c r="B511" s="1506"/>
      <c r="D511" s="2151"/>
      <c r="E511" s="2151"/>
      <c r="F511" s="1551"/>
      <c r="G511" s="1551"/>
      <c r="H511" s="1551"/>
      <c r="I511" s="1551"/>
      <c r="J511" s="1551"/>
      <c r="K511" s="1551"/>
      <c r="L511" s="2151"/>
    </row>
    <row r="512" spans="1:13"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4883</v>
      </c>
      <c r="B2" s="1506"/>
      <c r="D2" s="2151" t="s">
        <v>4884</v>
      </c>
      <c r="E2" s="2151"/>
      <c r="F2" s="1551"/>
      <c r="G2" s="1551"/>
      <c r="H2" s="1551"/>
      <c r="I2" s="1551"/>
      <c r="J2" s="1551"/>
      <c r="K2" s="1551"/>
      <c r="L2" s="2151"/>
    </row>
    <row r="3" spans="1:107" s="1353" customFormat="1" ht="14.5">
      <c r="A3" s="1552"/>
      <c r="B3" s="1506" t="s">
        <v>5095</v>
      </c>
      <c r="D3" s="2150" t="s">
        <v>4886</v>
      </c>
      <c r="E3" s="2227" t="s">
        <v>4887</v>
      </c>
      <c r="F3" s="2228"/>
      <c r="G3" s="1551"/>
      <c r="H3" s="1551"/>
      <c r="I3" s="1551"/>
      <c r="J3" s="1551"/>
      <c r="K3" s="1551"/>
      <c r="L3" s="2151"/>
    </row>
    <row r="4" spans="1:107" s="1353" customFormat="1" ht="14.5">
      <c r="A4" s="1553"/>
      <c r="B4" s="1506" t="s">
        <v>5096</v>
      </c>
      <c r="D4" s="2150"/>
      <c r="E4" s="2150"/>
      <c r="F4" s="1551"/>
      <c r="G4" s="1551"/>
      <c r="H4" s="1551"/>
      <c r="I4" s="1551"/>
      <c r="J4" s="1551"/>
      <c r="K4" s="1551"/>
      <c r="L4" s="2151"/>
    </row>
    <row r="5" spans="1:107" s="1353" customFormat="1" ht="14.5">
      <c r="A5" s="1554"/>
      <c r="B5" s="1506" t="s">
        <v>5097</v>
      </c>
      <c r="D5" s="2150"/>
      <c r="E5" s="2150"/>
      <c r="F5" s="1551"/>
      <c r="G5" s="1551"/>
      <c r="H5" s="1551"/>
      <c r="I5" s="1551"/>
      <c r="J5" s="1551"/>
      <c r="K5" s="1551"/>
      <c r="L5" s="2151"/>
    </row>
    <row r="6" spans="1:107" s="1353" customFormat="1" ht="14.5">
      <c r="A6" s="1873"/>
      <c r="B6" s="1506" t="s">
        <v>4890</v>
      </c>
      <c r="D6" s="2151"/>
      <c r="E6" s="2151"/>
      <c r="F6" s="1551"/>
      <c r="G6" s="1551"/>
      <c r="H6" s="1551"/>
      <c r="I6" s="1551"/>
      <c r="J6" s="1551"/>
      <c r="K6" s="1551"/>
      <c r="L6" s="2151"/>
    </row>
    <row r="7" spans="1:107" s="1353" customFormat="1" ht="29">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5">
      <c r="A8" s="1621">
        <v>1</v>
      </c>
      <c r="B8" s="1622" t="s">
        <v>972</v>
      </c>
      <c r="C8" s="1623" t="s">
        <v>2071</v>
      </c>
      <c r="D8" s="1623" t="s">
        <v>4902</v>
      </c>
      <c r="E8" s="1623" t="s">
        <v>4903</v>
      </c>
      <c r="F8" s="1621" t="s">
        <v>5098</v>
      </c>
      <c r="G8" s="1621">
        <v>95</v>
      </c>
      <c r="H8" s="1621" t="s">
        <v>1859</v>
      </c>
      <c r="I8" s="1621" t="s">
        <v>985</v>
      </c>
      <c r="J8" s="1624">
        <v>2</v>
      </c>
      <c r="K8" s="1624">
        <v>1.5</v>
      </c>
      <c r="L8" s="1623" t="s">
        <v>4905</v>
      </c>
      <c r="M8" s="1625">
        <v>44287</v>
      </c>
    </row>
    <row r="9" spans="1:107" s="1353" customFormat="1" ht="14.5">
      <c r="A9" s="1621">
        <v>2</v>
      </c>
      <c r="B9" s="1622" t="s">
        <v>972</v>
      </c>
      <c r="C9" s="1623" t="s">
        <v>2071</v>
      </c>
      <c r="D9" s="1623" t="s">
        <v>4902</v>
      </c>
      <c r="E9" s="1623" t="s">
        <v>4903</v>
      </c>
      <c r="F9" s="1621" t="s">
        <v>5098</v>
      </c>
      <c r="G9" s="1621">
        <v>95</v>
      </c>
      <c r="H9" s="1621" t="s">
        <v>1859</v>
      </c>
      <c r="I9" s="1621" t="s">
        <v>958</v>
      </c>
      <c r="J9" s="1624">
        <v>2</v>
      </c>
      <c r="K9" s="1624">
        <v>1.5</v>
      </c>
      <c r="L9" s="1623" t="s">
        <v>4905</v>
      </c>
      <c r="M9" s="1625">
        <v>44287</v>
      </c>
    </row>
    <row r="10" spans="1:107" s="1353" customFormat="1" ht="14.5">
      <c r="A10" s="1621">
        <v>3</v>
      </c>
      <c r="B10" s="1622" t="s">
        <v>972</v>
      </c>
      <c r="C10" s="1623" t="s">
        <v>2071</v>
      </c>
      <c r="D10" s="1623" t="s">
        <v>4902</v>
      </c>
      <c r="E10" s="1623" t="s">
        <v>4903</v>
      </c>
      <c r="F10" s="1621" t="s">
        <v>5098</v>
      </c>
      <c r="G10" s="1621">
        <v>95</v>
      </c>
      <c r="H10" s="1621" t="s">
        <v>1859</v>
      </c>
      <c r="I10" s="1621" t="s">
        <v>970</v>
      </c>
      <c r="J10" s="1624">
        <v>2</v>
      </c>
      <c r="K10" s="1624">
        <v>1.5</v>
      </c>
      <c r="L10" s="1623" t="s">
        <v>4905</v>
      </c>
      <c r="M10" s="1625">
        <v>44287</v>
      </c>
    </row>
    <row r="11" spans="1:107" s="1353" customFormat="1" ht="14.5">
      <c r="A11" s="1621">
        <v>4</v>
      </c>
      <c r="B11" s="1622" t="s">
        <v>972</v>
      </c>
      <c r="C11" s="1623" t="s">
        <v>2078</v>
      </c>
      <c r="D11" s="1623" t="s">
        <v>629</v>
      </c>
      <c r="E11" s="1623" t="s">
        <v>4903</v>
      </c>
      <c r="F11" s="1621" t="s">
        <v>5098</v>
      </c>
      <c r="G11" s="1621">
        <v>85</v>
      </c>
      <c r="H11" s="1621" t="s">
        <v>1857</v>
      </c>
      <c r="I11" s="1621" t="s">
        <v>968</v>
      </c>
      <c r="J11" s="1624">
        <v>-109.48162685541099</v>
      </c>
      <c r="K11" s="1624" t="s">
        <v>4906</v>
      </c>
      <c r="L11" s="1623" t="s">
        <v>4907</v>
      </c>
      <c r="M11" s="1625">
        <v>44287</v>
      </c>
    </row>
    <row r="12" spans="1:107" s="1353" customFormat="1" ht="14.5">
      <c r="A12" s="1621">
        <v>5</v>
      </c>
      <c r="B12" s="1622" t="s">
        <v>972</v>
      </c>
      <c r="C12" s="1623" t="s">
        <v>2078</v>
      </c>
      <c r="D12" s="1623" t="s">
        <v>629</v>
      </c>
      <c r="E12" s="1623" t="s">
        <v>4903</v>
      </c>
      <c r="F12" s="1621" t="s">
        <v>5098</v>
      </c>
      <c r="G12" s="1621">
        <v>85</v>
      </c>
      <c r="H12" s="1621" t="s">
        <v>1857</v>
      </c>
      <c r="I12" s="1621" t="s">
        <v>980</v>
      </c>
      <c r="J12" s="1624">
        <v>-109.48162685541099</v>
      </c>
      <c r="K12" s="1624" t="s">
        <v>4906</v>
      </c>
      <c r="L12" s="1623" t="s">
        <v>4907</v>
      </c>
      <c r="M12" s="1625">
        <v>44287</v>
      </c>
    </row>
    <row r="13" spans="1:107" s="1353" customFormat="1" ht="14.5">
      <c r="A13" s="1621">
        <v>6</v>
      </c>
      <c r="B13" s="1622" t="s">
        <v>972</v>
      </c>
      <c r="C13" s="1623" t="s">
        <v>2078</v>
      </c>
      <c r="D13" s="1623" t="s">
        <v>629</v>
      </c>
      <c r="E13" s="1623" t="s">
        <v>4903</v>
      </c>
      <c r="F13" s="1621" t="s">
        <v>5098</v>
      </c>
      <c r="G13" s="1621">
        <v>85</v>
      </c>
      <c r="H13" s="1621" t="s">
        <v>1857</v>
      </c>
      <c r="I13" s="1621" t="s">
        <v>985</v>
      </c>
      <c r="J13" s="1624">
        <v>-109.48162685541099</v>
      </c>
      <c r="K13" s="1624" t="s">
        <v>4906</v>
      </c>
      <c r="L13" s="1623" t="s">
        <v>4907</v>
      </c>
      <c r="M13" s="1625">
        <v>44287</v>
      </c>
    </row>
    <row r="14" spans="1:107" s="1353" customFormat="1" ht="14.5">
      <c r="A14" s="1621">
        <v>7</v>
      </c>
      <c r="B14" s="1622" t="s">
        <v>972</v>
      </c>
      <c r="C14" s="1623" t="s">
        <v>2078</v>
      </c>
      <c r="D14" s="1623" t="s">
        <v>629</v>
      </c>
      <c r="E14" s="1623" t="s">
        <v>4903</v>
      </c>
      <c r="F14" s="1621" t="s">
        <v>5098</v>
      </c>
      <c r="G14" s="1621">
        <v>85</v>
      </c>
      <c r="H14" s="1621" t="s">
        <v>1857</v>
      </c>
      <c r="I14" s="1621" t="s">
        <v>958</v>
      </c>
      <c r="J14" s="1624">
        <v>-109.48162685541099</v>
      </c>
      <c r="K14" s="1624" t="s">
        <v>4906</v>
      </c>
      <c r="L14" s="1623" t="s">
        <v>4907</v>
      </c>
      <c r="M14" s="1625">
        <v>44287</v>
      </c>
    </row>
    <row r="15" spans="1:107" s="1353" customFormat="1" ht="14.5">
      <c r="A15" s="1621">
        <v>8</v>
      </c>
      <c r="B15" s="1622" t="s">
        <v>972</v>
      </c>
      <c r="C15" s="1623" t="s">
        <v>2078</v>
      </c>
      <c r="D15" s="1623" t="s">
        <v>629</v>
      </c>
      <c r="E15" s="1623" t="s">
        <v>4903</v>
      </c>
      <c r="F15" s="1621" t="s">
        <v>5098</v>
      </c>
      <c r="G15" s="1621">
        <v>85</v>
      </c>
      <c r="H15" s="1621" t="s">
        <v>1857</v>
      </c>
      <c r="I15" s="1621" t="s">
        <v>970</v>
      </c>
      <c r="J15" s="1624">
        <v>-109.48162685541099</v>
      </c>
      <c r="K15" s="1624" t="s">
        <v>4906</v>
      </c>
      <c r="L15" s="1623" t="s">
        <v>4907</v>
      </c>
      <c r="M15" s="1625">
        <v>44287</v>
      </c>
    </row>
    <row r="16" spans="1:107" s="1353" customFormat="1" ht="14.5">
      <c r="A16" s="1621">
        <v>9</v>
      </c>
      <c r="B16" s="1622" t="s">
        <v>972</v>
      </c>
      <c r="C16" s="1623" t="s">
        <v>2078</v>
      </c>
      <c r="D16" s="1623" t="s">
        <v>629</v>
      </c>
      <c r="E16" s="1623" t="s">
        <v>4903</v>
      </c>
      <c r="F16" s="1621" t="s">
        <v>5098</v>
      </c>
      <c r="G16" s="1621">
        <v>110</v>
      </c>
      <c r="H16" s="1621" t="s">
        <v>1862</v>
      </c>
      <c r="I16" s="1621" t="s">
        <v>968</v>
      </c>
      <c r="J16" s="1624" t="s">
        <v>4797</v>
      </c>
      <c r="K16" s="1624" t="s">
        <v>4906</v>
      </c>
      <c r="L16" s="1623" t="s">
        <v>4907</v>
      </c>
      <c r="M16" s="1625">
        <v>44287</v>
      </c>
    </row>
    <row r="17" spans="1:13" s="1353" customFormat="1" ht="14.5">
      <c r="A17" s="1621">
        <v>10</v>
      </c>
      <c r="B17" s="1622" t="s">
        <v>972</v>
      </c>
      <c r="C17" s="1623" t="s">
        <v>2078</v>
      </c>
      <c r="D17" s="1623" t="s">
        <v>629</v>
      </c>
      <c r="E17" s="1623" t="s">
        <v>4903</v>
      </c>
      <c r="F17" s="1621" t="s">
        <v>5098</v>
      </c>
      <c r="G17" s="1621">
        <v>110</v>
      </c>
      <c r="H17" s="1621" t="s">
        <v>1862</v>
      </c>
      <c r="I17" s="1621" t="s">
        <v>980</v>
      </c>
      <c r="J17" s="1624" t="s">
        <v>4797</v>
      </c>
      <c r="K17" s="1624" t="s">
        <v>4906</v>
      </c>
      <c r="L17" s="1623" t="s">
        <v>4907</v>
      </c>
      <c r="M17" s="1625">
        <v>44287</v>
      </c>
    </row>
    <row r="18" spans="1:13" s="1353" customFormat="1" ht="14.5">
      <c r="A18" s="1621">
        <v>11</v>
      </c>
      <c r="B18" s="1622" t="s">
        <v>972</v>
      </c>
      <c r="C18" s="1623" t="s">
        <v>2078</v>
      </c>
      <c r="D18" s="1623" t="s">
        <v>629</v>
      </c>
      <c r="E18" s="1623" t="s">
        <v>4903</v>
      </c>
      <c r="F18" s="1621" t="s">
        <v>5098</v>
      </c>
      <c r="G18" s="1621">
        <v>110</v>
      </c>
      <c r="H18" s="1621" t="s">
        <v>1862</v>
      </c>
      <c r="I18" s="1621" t="s">
        <v>985</v>
      </c>
      <c r="J18" s="1624" t="s">
        <v>4797</v>
      </c>
      <c r="K18" s="1624" t="s">
        <v>4906</v>
      </c>
      <c r="L18" s="1623" t="s">
        <v>4907</v>
      </c>
      <c r="M18" s="1625">
        <v>44287</v>
      </c>
    </row>
    <row r="19" spans="1:13" s="1353" customFormat="1" ht="14.5">
      <c r="A19" s="1621">
        <v>12</v>
      </c>
      <c r="B19" s="1622" t="s">
        <v>972</v>
      </c>
      <c r="C19" s="1623" t="s">
        <v>2078</v>
      </c>
      <c r="D19" s="1623" t="s">
        <v>629</v>
      </c>
      <c r="E19" s="1623" t="s">
        <v>4903</v>
      </c>
      <c r="F19" s="1621" t="s">
        <v>5098</v>
      </c>
      <c r="G19" s="1621">
        <v>110</v>
      </c>
      <c r="H19" s="1621" t="s">
        <v>1862</v>
      </c>
      <c r="I19" s="1621" t="s">
        <v>958</v>
      </c>
      <c r="J19" s="1624" t="s">
        <v>4797</v>
      </c>
      <c r="K19" s="1624" t="s">
        <v>4906</v>
      </c>
      <c r="L19" s="1623" t="s">
        <v>4907</v>
      </c>
      <c r="M19" s="1625">
        <v>44287</v>
      </c>
    </row>
    <row r="20" spans="1:13" s="1353" customFormat="1" ht="14.5">
      <c r="A20" s="1621">
        <v>13</v>
      </c>
      <c r="B20" s="1622" t="s">
        <v>972</v>
      </c>
      <c r="C20" s="1623" t="s">
        <v>2078</v>
      </c>
      <c r="D20" s="1623" t="s">
        <v>629</v>
      </c>
      <c r="E20" s="1623" t="s">
        <v>4903</v>
      </c>
      <c r="F20" s="1621" t="s">
        <v>5098</v>
      </c>
      <c r="G20" s="1621">
        <v>110</v>
      </c>
      <c r="H20" s="1621" t="s">
        <v>1862</v>
      </c>
      <c r="I20" s="1621" t="s">
        <v>970</v>
      </c>
      <c r="J20" s="1624" t="s">
        <v>4797</v>
      </c>
      <c r="K20" s="1624" t="s">
        <v>4906</v>
      </c>
      <c r="L20" s="1623" t="s">
        <v>4907</v>
      </c>
      <c r="M20" s="1625">
        <v>44287</v>
      </c>
    </row>
    <row r="21" spans="1:13" s="1353" customFormat="1" ht="43.5">
      <c r="A21" s="1621">
        <v>14</v>
      </c>
      <c r="B21" s="1622" t="s">
        <v>972</v>
      </c>
      <c r="C21" s="1623" t="s">
        <v>2078</v>
      </c>
      <c r="D21" s="1623" t="s">
        <v>629</v>
      </c>
      <c r="E21" s="1623" t="s">
        <v>4903</v>
      </c>
      <c r="F21" s="1621" t="s">
        <v>5098</v>
      </c>
      <c r="G21" s="1621">
        <v>115</v>
      </c>
      <c r="H21" s="1626" t="s">
        <v>1908</v>
      </c>
      <c r="I21" s="1621" t="s">
        <v>1037</v>
      </c>
      <c r="J21" s="1624">
        <v>-0.28038099999999999</v>
      </c>
      <c r="K21" s="1624">
        <v>-0.7</v>
      </c>
      <c r="L21" s="1623" t="s">
        <v>4908</v>
      </c>
      <c r="M21" s="1625">
        <v>44287</v>
      </c>
    </row>
    <row r="22" spans="1:13" s="1353" customFormat="1" ht="14.5">
      <c r="A22" s="1621">
        <v>15</v>
      </c>
      <c r="B22" s="1622" t="s">
        <v>972</v>
      </c>
      <c r="C22" s="1623" t="s">
        <v>2078</v>
      </c>
      <c r="D22" s="1623" t="s">
        <v>629</v>
      </c>
      <c r="E22" s="1623" t="s">
        <v>4903</v>
      </c>
      <c r="F22" s="1621" t="s">
        <v>5098</v>
      </c>
      <c r="G22" s="1621">
        <v>118</v>
      </c>
      <c r="H22" s="1621" t="s">
        <v>1910</v>
      </c>
      <c r="I22" s="1621" t="s">
        <v>1037</v>
      </c>
      <c r="J22" s="1624">
        <v>-0.78239599999999998</v>
      </c>
      <c r="K22" s="1624" t="s">
        <v>4906</v>
      </c>
      <c r="L22" s="1623" t="s">
        <v>4909</v>
      </c>
      <c r="M22" s="1625">
        <v>44287</v>
      </c>
    </row>
    <row r="23" spans="1:13" s="1353" customFormat="1" ht="14.5">
      <c r="A23" s="1621">
        <v>16</v>
      </c>
      <c r="B23" s="1622" t="s">
        <v>972</v>
      </c>
      <c r="C23" s="1623" t="s">
        <v>2078</v>
      </c>
      <c r="D23" s="1623" t="s">
        <v>629</v>
      </c>
      <c r="E23" s="1623" t="s">
        <v>4903</v>
      </c>
      <c r="F23" s="1621" t="s">
        <v>5098</v>
      </c>
      <c r="G23" s="1621">
        <v>122</v>
      </c>
      <c r="H23" s="1621" t="s">
        <v>1914</v>
      </c>
      <c r="I23" s="1621" t="s">
        <v>1037</v>
      </c>
      <c r="J23" s="1624">
        <v>0.78239599999999998</v>
      </c>
      <c r="K23" s="1624" t="s">
        <v>4906</v>
      </c>
      <c r="L23" s="1623" t="s">
        <v>4909</v>
      </c>
      <c r="M23" s="1625">
        <v>44287</v>
      </c>
    </row>
    <row r="24" spans="1:13" s="1353" customFormat="1" ht="14.5">
      <c r="A24" s="1621">
        <v>17</v>
      </c>
      <c r="B24" s="1622" t="s">
        <v>972</v>
      </c>
      <c r="C24" s="1623" t="s">
        <v>2089</v>
      </c>
      <c r="D24" s="1623" t="s">
        <v>689</v>
      </c>
      <c r="E24" s="1623" t="s">
        <v>4903</v>
      </c>
      <c r="F24" s="1621" t="s">
        <v>5098</v>
      </c>
      <c r="G24" s="1621">
        <v>90</v>
      </c>
      <c r="H24" s="1621" t="s">
        <v>1858</v>
      </c>
      <c r="I24" s="1621" t="s">
        <v>968</v>
      </c>
      <c r="J24" s="1624">
        <v>36.756999999999998</v>
      </c>
      <c r="K24" s="1624">
        <v>41.6</v>
      </c>
      <c r="L24" s="1623" t="s">
        <v>4910</v>
      </c>
      <c r="M24" s="1625">
        <v>44287</v>
      </c>
    </row>
    <row r="25" spans="1:13" s="1353" customFormat="1" ht="14.5">
      <c r="A25" s="1621">
        <v>18</v>
      </c>
      <c r="B25" s="1622" t="s">
        <v>972</v>
      </c>
      <c r="C25" s="1623" t="s">
        <v>2089</v>
      </c>
      <c r="D25" s="1623" t="s">
        <v>689</v>
      </c>
      <c r="E25" s="1623" t="s">
        <v>4903</v>
      </c>
      <c r="F25" s="1621" t="s">
        <v>5098</v>
      </c>
      <c r="G25" s="1621">
        <v>90</v>
      </c>
      <c r="H25" s="1621" t="s">
        <v>1858</v>
      </c>
      <c r="I25" s="1621" t="s">
        <v>980</v>
      </c>
      <c r="J25" s="1624">
        <v>36.756999999999998</v>
      </c>
      <c r="K25" s="1624">
        <v>41.6</v>
      </c>
      <c r="L25" s="1623" t="s">
        <v>4910</v>
      </c>
      <c r="M25" s="1625">
        <v>44287</v>
      </c>
    </row>
    <row r="26" spans="1:13" s="1353" customFormat="1" ht="14.5">
      <c r="A26" s="1621">
        <v>19</v>
      </c>
      <c r="B26" s="1622" t="s">
        <v>972</v>
      </c>
      <c r="C26" s="1623" t="s">
        <v>2089</v>
      </c>
      <c r="D26" s="1623" t="s">
        <v>689</v>
      </c>
      <c r="E26" s="1623" t="s">
        <v>4903</v>
      </c>
      <c r="F26" s="1621" t="s">
        <v>5098</v>
      </c>
      <c r="G26" s="1621">
        <v>90</v>
      </c>
      <c r="H26" s="1621" t="s">
        <v>1858</v>
      </c>
      <c r="I26" s="1621" t="s">
        <v>985</v>
      </c>
      <c r="J26" s="1624">
        <v>36.756999999999998</v>
      </c>
      <c r="K26" s="1624">
        <v>41.6</v>
      </c>
      <c r="L26" s="1623" t="s">
        <v>4910</v>
      </c>
      <c r="M26" s="1625">
        <v>44287</v>
      </c>
    </row>
    <row r="27" spans="1:13" s="1353" customFormat="1" ht="14.5">
      <c r="A27" s="1621">
        <v>20</v>
      </c>
      <c r="B27" s="1622" t="s">
        <v>972</v>
      </c>
      <c r="C27" s="1623" t="s">
        <v>2089</v>
      </c>
      <c r="D27" s="1623" t="s">
        <v>689</v>
      </c>
      <c r="E27" s="1623" t="s">
        <v>4903</v>
      </c>
      <c r="F27" s="1621" t="s">
        <v>5098</v>
      </c>
      <c r="G27" s="1621">
        <v>90</v>
      </c>
      <c r="H27" s="1621" t="s">
        <v>1858</v>
      </c>
      <c r="I27" s="1621" t="s">
        <v>958</v>
      </c>
      <c r="J27" s="1624">
        <v>36.756999999999998</v>
      </c>
      <c r="K27" s="1624">
        <v>41.6</v>
      </c>
      <c r="L27" s="1623" t="s">
        <v>4910</v>
      </c>
      <c r="M27" s="1625">
        <v>44287</v>
      </c>
    </row>
    <row r="28" spans="1:13" s="1353" customFormat="1" ht="14.5">
      <c r="A28" s="1621">
        <v>21</v>
      </c>
      <c r="B28" s="1622" t="s">
        <v>972</v>
      </c>
      <c r="C28" s="1623" t="s">
        <v>2089</v>
      </c>
      <c r="D28" s="1623" t="s">
        <v>689</v>
      </c>
      <c r="E28" s="1623" t="s">
        <v>4903</v>
      </c>
      <c r="F28" s="1621" t="s">
        <v>5098</v>
      </c>
      <c r="G28" s="1621">
        <v>90</v>
      </c>
      <c r="H28" s="1621" t="s">
        <v>1858</v>
      </c>
      <c r="I28" s="1621" t="s">
        <v>970</v>
      </c>
      <c r="J28" s="1624">
        <v>36.756999999999998</v>
      </c>
      <c r="K28" s="1624">
        <v>41.6</v>
      </c>
      <c r="L28" s="1623" t="s">
        <v>4910</v>
      </c>
      <c r="M28" s="1625">
        <v>44287</v>
      </c>
    </row>
    <row r="29" spans="1:13" s="1353" customFormat="1" ht="14.5">
      <c r="A29" s="1621">
        <v>22</v>
      </c>
      <c r="B29" s="1622" t="s">
        <v>972</v>
      </c>
      <c r="C29" s="1623" t="s">
        <v>2100</v>
      </c>
      <c r="D29" s="1623" t="s">
        <v>4911</v>
      </c>
      <c r="E29" s="1623" t="s">
        <v>4903</v>
      </c>
      <c r="F29" s="1621" t="s">
        <v>5098</v>
      </c>
      <c r="G29" s="1621">
        <v>95</v>
      </c>
      <c r="H29" s="1621" t="s">
        <v>1859</v>
      </c>
      <c r="I29" s="1621" t="s">
        <v>968</v>
      </c>
      <c r="J29" s="1624" t="s">
        <v>4906</v>
      </c>
      <c r="K29" s="1624">
        <v>150.1</v>
      </c>
      <c r="L29" s="1623" t="s">
        <v>4912</v>
      </c>
      <c r="M29" s="1625">
        <v>44287</v>
      </c>
    </row>
    <row r="30" spans="1:13" s="1353" customFormat="1" ht="14.5">
      <c r="A30" s="1621">
        <v>23</v>
      </c>
      <c r="B30" s="1622" t="s">
        <v>972</v>
      </c>
      <c r="C30" s="1623" t="s">
        <v>2100</v>
      </c>
      <c r="D30" s="1623" t="s">
        <v>4911</v>
      </c>
      <c r="E30" s="1623" t="s">
        <v>4903</v>
      </c>
      <c r="F30" s="1621" t="s">
        <v>5098</v>
      </c>
      <c r="G30" s="1621">
        <v>95</v>
      </c>
      <c r="H30" s="1621" t="s">
        <v>1859</v>
      </c>
      <c r="I30" s="1621" t="s">
        <v>980</v>
      </c>
      <c r="J30" s="1624" t="s">
        <v>4906</v>
      </c>
      <c r="K30" s="1624">
        <v>148.1</v>
      </c>
      <c r="L30" s="1623" t="s">
        <v>4912</v>
      </c>
      <c r="M30" s="1625">
        <v>44287</v>
      </c>
    </row>
    <row r="31" spans="1:13" s="1353" customFormat="1" ht="14.5">
      <c r="A31" s="1621">
        <v>24</v>
      </c>
      <c r="B31" s="1622" t="s">
        <v>972</v>
      </c>
      <c r="C31" s="1623" t="s">
        <v>2100</v>
      </c>
      <c r="D31" s="1623" t="s">
        <v>4911</v>
      </c>
      <c r="E31" s="1623" t="s">
        <v>4903</v>
      </c>
      <c r="F31" s="1621" t="s">
        <v>5098</v>
      </c>
      <c r="G31" s="1621">
        <v>95</v>
      </c>
      <c r="H31" s="1621" t="s">
        <v>1859</v>
      </c>
      <c r="I31" s="1621" t="s">
        <v>985</v>
      </c>
      <c r="J31" s="1624" t="s">
        <v>4906</v>
      </c>
      <c r="K31" s="1624">
        <v>146.19999999999999</v>
      </c>
      <c r="L31" s="1623" t="s">
        <v>4912</v>
      </c>
      <c r="M31" s="1625">
        <v>44287</v>
      </c>
    </row>
    <row r="32" spans="1:13" s="1353" customFormat="1" ht="14.5">
      <c r="A32" s="1621">
        <v>25</v>
      </c>
      <c r="B32" s="1622" t="s">
        <v>972</v>
      </c>
      <c r="C32" s="1623" t="s">
        <v>2100</v>
      </c>
      <c r="D32" s="1623" t="s">
        <v>4911</v>
      </c>
      <c r="E32" s="1623" t="s">
        <v>4903</v>
      </c>
      <c r="F32" s="1621" t="s">
        <v>5098</v>
      </c>
      <c r="G32" s="1621">
        <v>95</v>
      </c>
      <c r="H32" s="1621" t="s">
        <v>1859</v>
      </c>
      <c r="I32" s="1621" t="s">
        <v>958</v>
      </c>
      <c r="J32" s="1624" t="s">
        <v>4906</v>
      </c>
      <c r="K32" s="1624">
        <v>144.19999999999999</v>
      </c>
      <c r="L32" s="1623" t="s">
        <v>4912</v>
      </c>
      <c r="M32" s="1625">
        <v>44287</v>
      </c>
    </row>
    <row r="33" spans="1:13" s="1353" customFormat="1" ht="14.5">
      <c r="A33" s="1621">
        <v>26</v>
      </c>
      <c r="B33" s="1622" t="s">
        <v>972</v>
      </c>
      <c r="C33" s="1623" t="s">
        <v>2100</v>
      </c>
      <c r="D33" s="1623" t="s">
        <v>4911</v>
      </c>
      <c r="E33" s="1623" t="s">
        <v>4903</v>
      </c>
      <c r="F33" s="1621" t="s">
        <v>5098</v>
      </c>
      <c r="G33" s="1621">
        <v>95</v>
      </c>
      <c r="H33" s="1621" t="s">
        <v>1859</v>
      </c>
      <c r="I33" s="1621" t="s">
        <v>970</v>
      </c>
      <c r="J33" s="1624" t="s">
        <v>4906</v>
      </c>
      <c r="K33" s="1624">
        <v>142.30000000000001</v>
      </c>
      <c r="L33" s="1623" t="s">
        <v>4912</v>
      </c>
      <c r="M33" s="1625">
        <v>44287</v>
      </c>
    </row>
    <row r="34" spans="1:13" s="1353" customFormat="1" ht="14.5">
      <c r="A34" s="1621">
        <v>27</v>
      </c>
      <c r="B34" s="1622" t="s">
        <v>972</v>
      </c>
      <c r="C34" s="1623" t="s">
        <v>2105</v>
      </c>
      <c r="D34" s="1623" t="s">
        <v>4913</v>
      </c>
      <c r="E34" s="1623" t="s">
        <v>4903</v>
      </c>
      <c r="F34" s="1621" t="s">
        <v>5098</v>
      </c>
      <c r="G34" s="1621">
        <v>95</v>
      </c>
      <c r="H34" s="1621" t="s">
        <v>1859</v>
      </c>
      <c r="I34" s="1621" t="s">
        <v>968</v>
      </c>
      <c r="J34" s="1624" t="s">
        <v>4906</v>
      </c>
      <c r="K34" s="1624">
        <v>2.81</v>
      </c>
      <c r="L34" s="1623" t="s">
        <v>4914</v>
      </c>
      <c r="M34" s="1625">
        <v>44287</v>
      </c>
    </row>
    <row r="35" spans="1:13" s="1353" customFormat="1" ht="14.5">
      <c r="A35" s="1621">
        <v>28</v>
      </c>
      <c r="B35" s="1622" t="s">
        <v>972</v>
      </c>
      <c r="C35" s="1623" t="s">
        <v>2105</v>
      </c>
      <c r="D35" s="1623" t="s">
        <v>4913</v>
      </c>
      <c r="E35" s="1623" t="s">
        <v>4903</v>
      </c>
      <c r="F35" s="1621" t="s">
        <v>5098</v>
      </c>
      <c r="G35" s="1621">
        <v>95</v>
      </c>
      <c r="H35" s="1621" t="s">
        <v>1859</v>
      </c>
      <c r="I35" s="1621" t="s">
        <v>980</v>
      </c>
      <c r="J35" s="1624" t="s">
        <v>4906</v>
      </c>
      <c r="K35" s="1624">
        <v>2.81</v>
      </c>
      <c r="L35" s="1623" t="s">
        <v>4914</v>
      </c>
      <c r="M35" s="1625">
        <v>44287</v>
      </c>
    </row>
    <row r="36" spans="1:13" s="1353" customFormat="1" ht="14.5">
      <c r="A36" s="1621">
        <v>29</v>
      </c>
      <c r="B36" s="1622" t="s">
        <v>972</v>
      </c>
      <c r="C36" s="1623" t="s">
        <v>2105</v>
      </c>
      <c r="D36" s="1623" t="s">
        <v>4913</v>
      </c>
      <c r="E36" s="1623" t="s">
        <v>4903</v>
      </c>
      <c r="F36" s="1621" t="s">
        <v>5098</v>
      </c>
      <c r="G36" s="1621">
        <v>95</v>
      </c>
      <c r="H36" s="1621" t="s">
        <v>1859</v>
      </c>
      <c r="I36" s="1621" t="s">
        <v>985</v>
      </c>
      <c r="J36" s="1624" t="s">
        <v>4906</v>
      </c>
      <c r="K36" s="1624">
        <v>2.81</v>
      </c>
      <c r="L36" s="1623" t="s">
        <v>4914</v>
      </c>
      <c r="M36" s="1625">
        <v>44287</v>
      </c>
    </row>
    <row r="37" spans="1:13" s="1353" customFormat="1" ht="14.5">
      <c r="A37" s="1621">
        <v>30</v>
      </c>
      <c r="B37" s="1622" t="s">
        <v>972</v>
      </c>
      <c r="C37" s="1623" t="s">
        <v>2105</v>
      </c>
      <c r="D37" s="1623" t="s">
        <v>4913</v>
      </c>
      <c r="E37" s="1623" t="s">
        <v>4903</v>
      </c>
      <c r="F37" s="1621" t="s">
        <v>5098</v>
      </c>
      <c r="G37" s="1621">
        <v>95</v>
      </c>
      <c r="H37" s="1621" t="s">
        <v>1859</v>
      </c>
      <c r="I37" s="1621" t="s">
        <v>958</v>
      </c>
      <c r="J37" s="1624" t="s">
        <v>4906</v>
      </c>
      <c r="K37" s="1624">
        <v>2.81</v>
      </c>
      <c r="L37" s="1623" t="s">
        <v>4914</v>
      </c>
      <c r="M37" s="1625">
        <v>44287</v>
      </c>
    </row>
    <row r="38" spans="1:13" s="1353" customFormat="1" ht="14.5">
      <c r="A38" s="1621">
        <v>31</v>
      </c>
      <c r="B38" s="1622" t="s">
        <v>972</v>
      </c>
      <c r="C38" s="1623" t="s">
        <v>2105</v>
      </c>
      <c r="D38" s="1623" t="s">
        <v>4913</v>
      </c>
      <c r="E38" s="1623" t="s">
        <v>4903</v>
      </c>
      <c r="F38" s="1621" t="s">
        <v>5098</v>
      </c>
      <c r="G38" s="1621">
        <v>95</v>
      </c>
      <c r="H38" s="1621" t="s">
        <v>1859</v>
      </c>
      <c r="I38" s="1621" t="s">
        <v>970</v>
      </c>
      <c r="J38" s="1624" t="s">
        <v>4906</v>
      </c>
      <c r="K38" s="1624">
        <v>2.81</v>
      </c>
      <c r="L38" s="1623" t="s">
        <v>4914</v>
      </c>
      <c r="M38" s="1625">
        <v>44287</v>
      </c>
    </row>
    <row r="39" spans="1:13" s="1353" customFormat="1" ht="58">
      <c r="A39" s="1627">
        <v>32</v>
      </c>
      <c r="B39" s="1628" t="s">
        <v>972</v>
      </c>
      <c r="C39" s="1629" t="s">
        <v>2078</v>
      </c>
      <c r="D39" s="1629" t="s">
        <v>629</v>
      </c>
      <c r="E39" s="1629" t="s">
        <v>788</v>
      </c>
      <c r="F39" s="1627" t="s">
        <v>5098</v>
      </c>
      <c r="G39" s="1627">
        <v>41</v>
      </c>
      <c r="H39" s="1627" t="s">
        <v>1090</v>
      </c>
      <c r="I39" s="1627" t="s">
        <v>1037</v>
      </c>
      <c r="J39" s="1630" t="s">
        <v>978</v>
      </c>
      <c r="K39" s="1630" t="s">
        <v>966</v>
      </c>
      <c r="L39" s="1629" t="s">
        <v>5099</v>
      </c>
      <c r="M39" s="1631">
        <v>44225</v>
      </c>
    </row>
    <row r="40" spans="1:13" s="1353" customFormat="1" ht="58">
      <c r="A40" s="1627">
        <v>33</v>
      </c>
      <c r="B40" s="1628" t="s">
        <v>972</v>
      </c>
      <c r="C40" s="1629" t="s">
        <v>1125</v>
      </c>
      <c r="D40" s="1629" t="s">
        <v>1124</v>
      </c>
      <c r="E40" s="1629" t="s">
        <v>788</v>
      </c>
      <c r="F40" s="1627" t="s">
        <v>5098</v>
      </c>
      <c r="G40" s="1627">
        <v>41</v>
      </c>
      <c r="H40" s="1627" t="s">
        <v>1090</v>
      </c>
      <c r="I40" s="1627" t="s">
        <v>1037</v>
      </c>
      <c r="J40" s="1630" t="s">
        <v>978</v>
      </c>
      <c r="K40" s="1630" t="s">
        <v>966</v>
      </c>
      <c r="L40" s="1629" t="s">
        <v>5100</v>
      </c>
      <c r="M40" s="1631">
        <v>44225</v>
      </c>
    </row>
    <row r="41" spans="1:13" s="1353" customFormat="1" ht="14.5">
      <c r="A41" s="1621">
        <v>34</v>
      </c>
      <c r="B41" s="1622" t="s">
        <v>1022</v>
      </c>
      <c r="C41" s="1623" t="s">
        <v>2223</v>
      </c>
      <c r="D41" s="1623" t="s">
        <v>4902</v>
      </c>
      <c r="E41" s="1623" t="s">
        <v>4903</v>
      </c>
      <c r="F41" s="1621" t="s">
        <v>5098</v>
      </c>
      <c r="G41" s="1621">
        <v>95</v>
      </c>
      <c r="H41" s="1621" t="s">
        <v>1859</v>
      </c>
      <c r="I41" s="1621" t="s">
        <v>985</v>
      </c>
      <c r="J41" s="1632">
        <v>2</v>
      </c>
      <c r="K41" s="1632">
        <v>1.5</v>
      </c>
      <c r="L41" s="1623" t="s">
        <v>4905</v>
      </c>
      <c r="M41" s="1625">
        <v>44287</v>
      </c>
    </row>
    <row r="42" spans="1:13" s="1353" customFormat="1" ht="14.5">
      <c r="A42" s="1621">
        <v>35</v>
      </c>
      <c r="B42" s="1622" t="s">
        <v>1022</v>
      </c>
      <c r="C42" s="1623" t="s">
        <v>2223</v>
      </c>
      <c r="D42" s="1623" t="s">
        <v>4902</v>
      </c>
      <c r="E42" s="1623" t="s">
        <v>4903</v>
      </c>
      <c r="F42" s="1621" t="s">
        <v>5098</v>
      </c>
      <c r="G42" s="1621">
        <v>95</v>
      </c>
      <c r="H42" s="1621" t="s">
        <v>1859</v>
      </c>
      <c r="I42" s="1621" t="s">
        <v>958</v>
      </c>
      <c r="J42" s="1632">
        <v>2</v>
      </c>
      <c r="K42" s="1632">
        <v>1.5</v>
      </c>
      <c r="L42" s="1623" t="s">
        <v>4905</v>
      </c>
      <c r="M42" s="1625">
        <v>44287</v>
      </c>
    </row>
    <row r="43" spans="1:13" s="1353" customFormat="1" ht="14.5">
      <c r="A43" s="1621">
        <v>36</v>
      </c>
      <c r="B43" s="1622" t="s">
        <v>1022</v>
      </c>
      <c r="C43" s="1623" t="s">
        <v>2223</v>
      </c>
      <c r="D43" s="1623" t="s">
        <v>4902</v>
      </c>
      <c r="E43" s="1623" t="s">
        <v>4903</v>
      </c>
      <c r="F43" s="1621" t="s">
        <v>5098</v>
      </c>
      <c r="G43" s="1621">
        <v>95</v>
      </c>
      <c r="H43" s="1621" t="s">
        <v>1859</v>
      </c>
      <c r="I43" s="1621" t="s">
        <v>970</v>
      </c>
      <c r="J43" s="1632">
        <v>2</v>
      </c>
      <c r="K43" s="1632">
        <v>1.5</v>
      </c>
      <c r="L43" s="1623" t="s">
        <v>4905</v>
      </c>
      <c r="M43" s="1625">
        <v>44287</v>
      </c>
    </row>
    <row r="44" spans="1:13" s="1353" customFormat="1" ht="14.5">
      <c r="A44" s="1621">
        <v>37</v>
      </c>
      <c r="B44" s="1622" t="s">
        <v>1022</v>
      </c>
      <c r="C44" s="1623" t="s">
        <v>2231</v>
      </c>
      <c r="D44" s="1623" t="s">
        <v>4911</v>
      </c>
      <c r="E44" s="1623" t="s">
        <v>4903</v>
      </c>
      <c r="F44" s="1621" t="s">
        <v>5098</v>
      </c>
      <c r="G44" s="1621">
        <v>95</v>
      </c>
      <c r="H44" s="1621" t="s">
        <v>1859</v>
      </c>
      <c r="I44" s="1621" t="s">
        <v>968</v>
      </c>
      <c r="J44" s="1624" t="s">
        <v>4906</v>
      </c>
      <c r="K44" s="1633">
        <v>148.4</v>
      </c>
      <c r="L44" s="1623" t="s">
        <v>4912</v>
      </c>
      <c r="M44" s="1625">
        <v>44287</v>
      </c>
    </row>
    <row r="45" spans="1:13" s="1353" customFormat="1" ht="14.5">
      <c r="A45" s="1621">
        <v>38</v>
      </c>
      <c r="B45" s="1622" t="s">
        <v>1022</v>
      </c>
      <c r="C45" s="1623" t="s">
        <v>2231</v>
      </c>
      <c r="D45" s="1623" t="s">
        <v>4911</v>
      </c>
      <c r="E45" s="1623" t="s">
        <v>4903</v>
      </c>
      <c r="F45" s="1621" t="s">
        <v>5098</v>
      </c>
      <c r="G45" s="1621">
        <v>95</v>
      </c>
      <c r="H45" s="1621" t="s">
        <v>1859</v>
      </c>
      <c r="I45" s="1621" t="s">
        <v>980</v>
      </c>
      <c r="J45" s="1624" t="s">
        <v>4906</v>
      </c>
      <c r="K45" s="1633">
        <v>146.5</v>
      </c>
      <c r="L45" s="1623" t="s">
        <v>4912</v>
      </c>
      <c r="M45" s="1625">
        <v>44287</v>
      </c>
    </row>
    <row r="46" spans="1:13" s="1353" customFormat="1" ht="14.5">
      <c r="A46" s="1621">
        <v>39</v>
      </c>
      <c r="B46" s="1622" t="s">
        <v>1022</v>
      </c>
      <c r="C46" s="1623" t="s">
        <v>2231</v>
      </c>
      <c r="D46" s="1623" t="s">
        <v>4911</v>
      </c>
      <c r="E46" s="1623" t="s">
        <v>4903</v>
      </c>
      <c r="F46" s="1621" t="s">
        <v>5098</v>
      </c>
      <c r="G46" s="1621">
        <v>95</v>
      </c>
      <c r="H46" s="1621" t="s">
        <v>1859</v>
      </c>
      <c r="I46" s="1621" t="s">
        <v>985</v>
      </c>
      <c r="J46" s="1624" t="s">
        <v>4906</v>
      </c>
      <c r="K46" s="1633">
        <v>144.6</v>
      </c>
      <c r="L46" s="1623" t="s">
        <v>4912</v>
      </c>
      <c r="M46" s="1625">
        <v>44287</v>
      </c>
    </row>
    <row r="47" spans="1:13" s="1353" customFormat="1" ht="14.5">
      <c r="A47" s="1621">
        <v>40</v>
      </c>
      <c r="B47" s="1622" t="s">
        <v>1022</v>
      </c>
      <c r="C47" s="1623" t="s">
        <v>2231</v>
      </c>
      <c r="D47" s="1623" t="s">
        <v>4911</v>
      </c>
      <c r="E47" s="1623" t="s">
        <v>4903</v>
      </c>
      <c r="F47" s="1621" t="s">
        <v>5098</v>
      </c>
      <c r="G47" s="1621">
        <v>95</v>
      </c>
      <c r="H47" s="1621" t="s">
        <v>1859</v>
      </c>
      <c r="I47" s="1621" t="s">
        <v>958</v>
      </c>
      <c r="J47" s="1624" t="s">
        <v>4906</v>
      </c>
      <c r="K47" s="1633">
        <v>142.69999999999999</v>
      </c>
      <c r="L47" s="1623" t="s">
        <v>4912</v>
      </c>
      <c r="M47" s="1625">
        <v>44287</v>
      </c>
    </row>
    <row r="48" spans="1:13" s="1353" customFormat="1" ht="14.5">
      <c r="A48" s="1621">
        <v>41</v>
      </c>
      <c r="B48" s="1622" t="s">
        <v>1022</v>
      </c>
      <c r="C48" s="1623" t="s">
        <v>2231</v>
      </c>
      <c r="D48" s="1623" t="s">
        <v>4911</v>
      </c>
      <c r="E48" s="1623" t="s">
        <v>4903</v>
      </c>
      <c r="F48" s="1621" t="s">
        <v>5098</v>
      </c>
      <c r="G48" s="1621">
        <v>95</v>
      </c>
      <c r="H48" s="1621" t="s">
        <v>1859</v>
      </c>
      <c r="I48" s="1621" t="s">
        <v>970</v>
      </c>
      <c r="J48" s="1624" t="s">
        <v>4906</v>
      </c>
      <c r="K48" s="1633">
        <v>140.69999999999999</v>
      </c>
      <c r="L48" s="1623" t="s">
        <v>4912</v>
      </c>
      <c r="M48" s="1625">
        <v>44287</v>
      </c>
    </row>
    <row r="49" spans="1:13" s="1353" customFormat="1" ht="14.5">
      <c r="A49" s="1621">
        <v>42</v>
      </c>
      <c r="B49" s="1622" t="s">
        <v>1022</v>
      </c>
      <c r="C49" s="1623" t="s">
        <v>2235</v>
      </c>
      <c r="D49" s="1623" t="s">
        <v>4913</v>
      </c>
      <c r="E49" s="1623" t="s">
        <v>4903</v>
      </c>
      <c r="F49" s="1621" t="s">
        <v>5098</v>
      </c>
      <c r="G49" s="1621">
        <v>95</v>
      </c>
      <c r="H49" s="1621" t="s">
        <v>1859</v>
      </c>
      <c r="I49" s="1621" t="s">
        <v>968</v>
      </c>
      <c r="J49" s="1624" t="s">
        <v>4906</v>
      </c>
      <c r="K49" s="1632">
        <v>2.81</v>
      </c>
      <c r="L49" s="1623" t="s">
        <v>4914</v>
      </c>
      <c r="M49" s="1625">
        <v>44287</v>
      </c>
    </row>
    <row r="50" spans="1:13" s="1353" customFormat="1" ht="14.5">
      <c r="A50" s="1621">
        <v>43</v>
      </c>
      <c r="B50" s="1622" t="s">
        <v>1022</v>
      </c>
      <c r="C50" s="1623" t="s">
        <v>2235</v>
      </c>
      <c r="D50" s="1623" t="s">
        <v>4913</v>
      </c>
      <c r="E50" s="1623" t="s">
        <v>4903</v>
      </c>
      <c r="F50" s="1621" t="s">
        <v>5098</v>
      </c>
      <c r="G50" s="1621">
        <v>95</v>
      </c>
      <c r="H50" s="1621" t="s">
        <v>1859</v>
      </c>
      <c r="I50" s="1621" t="s">
        <v>980</v>
      </c>
      <c r="J50" s="1624" t="s">
        <v>4906</v>
      </c>
      <c r="K50" s="1632">
        <v>2.81</v>
      </c>
      <c r="L50" s="1623" t="s">
        <v>4914</v>
      </c>
      <c r="M50" s="1625">
        <v>44287</v>
      </c>
    </row>
    <row r="51" spans="1:13" s="1353" customFormat="1" ht="14.5">
      <c r="A51" s="1621">
        <v>44</v>
      </c>
      <c r="B51" s="1622" t="s">
        <v>1022</v>
      </c>
      <c r="C51" s="1623" t="s">
        <v>2235</v>
      </c>
      <c r="D51" s="1623" t="s">
        <v>4913</v>
      </c>
      <c r="E51" s="1623" t="s">
        <v>4903</v>
      </c>
      <c r="F51" s="1621" t="s">
        <v>5098</v>
      </c>
      <c r="G51" s="1621">
        <v>95</v>
      </c>
      <c r="H51" s="1621" t="s">
        <v>1859</v>
      </c>
      <c r="I51" s="1621" t="s">
        <v>985</v>
      </c>
      <c r="J51" s="1624" t="s">
        <v>4906</v>
      </c>
      <c r="K51" s="1632">
        <v>2.81</v>
      </c>
      <c r="L51" s="1623" t="s">
        <v>4914</v>
      </c>
      <c r="M51" s="1625">
        <v>44287</v>
      </c>
    </row>
    <row r="52" spans="1:13" s="1353" customFormat="1" ht="14.5">
      <c r="A52" s="1621">
        <v>45</v>
      </c>
      <c r="B52" s="1622" t="s">
        <v>1022</v>
      </c>
      <c r="C52" s="1623" t="s">
        <v>2235</v>
      </c>
      <c r="D52" s="1623" t="s">
        <v>4913</v>
      </c>
      <c r="E52" s="1623" t="s">
        <v>4903</v>
      </c>
      <c r="F52" s="1621" t="s">
        <v>5098</v>
      </c>
      <c r="G52" s="1621">
        <v>95</v>
      </c>
      <c r="H52" s="1621" t="s">
        <v>1859</v>
      </c>
      <c r="I52" s="1621" t="s">
        <v>958</v>
      </c>
      <c r="J52" s="1624" t="s">
        <v>4906</v>
      </c>
      <c r="K52" s="1632">
        <v>2.81</v>
      </c>
      <c r="L52" s="1623" t="s">
        <v>4914</v>
      </c>
      <c r="M52" s="1625">
        <v>44287</v>
      </c>
    </row>
    <row r="53" spans="1:13" s="1353" customFormat="1" ht="14.5">
      <c r="A53" s="1621">
        <v>46</v>
      </c>
      <c r="B53" s="1622" t="s">
        <v>1022</v>
      </c>
      <c r="C53" s="1623" t="s">
        <v>2235</v>
      </c>
      <c r="D53" s="1623" t="s">
        <v>4913</v>
      </c>
      <c r="E53" s="1623" t="s">
        <v>4903</v>
      </c>
      <c r="F53" s="1621" t="s">
        <v>5098</v>
      </c>
      <c r="G53" s="1621">
        <v>95</v>
      </c>
      <c r="H53" s="1621" t="s">
        <v>1859</v>
      </c>
      <c r="I53" s="1621" t="s">
        <v>970</v>
      </c>
      <c r="J53" s="1624" t="s">
        <v>4906</v>
      </c>
      <c r="K53" s="1632">
        <v>2.81</v>
      </c>
      <c r="L53" s="1623" t="s">
        <v>4914</v>
      </c>
      <c r="M53" s="1625">
        <v>44287</v>
      </c>
    </row>
    <row r="54" spans="1:13" s="1353" customFormat="1" ht="43.5">
      <c r="A54" s="1621">
        <v>47</v>
      </c>
      <c r="B54" s="1622" t="s">
        <v>1022</v>
      </c>
      <c r="C54" s="1623" t="s">
        <v>2293</v>
      </c>
      <c r="D54" s="1623" t="s">
        <v>629</v>
      </c>
      <c r="E54" s="1623" t="s">
        <v>4903</v>
      </c>
      <c r="F54" s="1621" t="s">
        <v>5098</v>
      </c>
      <c r="G54" s="1621">
        <v>115</v>
      </c>
      <c r="H54" s="1626" t="s">
        <v>1908</v>
      </c>
      <c r="I54" s="1621" t="s">
        <v>1037</v>
      </c>
      <c r="J54" s="1624">
        <v>-6.3549999999999995E-2</v>
      </c>
      <c r="K54" s="1624">
        <v>-0.26200000000000001</v>
      </c>
      <c r="L54" s="1623" t="s">
        <v>4922</v>
      </c>
      <c r="M54" s="1625">
        <v>44287</v>
      </c>
    </row>
    <row r="55" spans="1:13" s="1353" customFormat="1" ht="29">
      <c r="A55" s="1621">
        <v>48</v>
      </c>
      <c r="B55" s="1622" t="s">
        <v>1022</v>
      </c>
      <c r="C55" s="1623" t="s">
        <v>1162</v>
      </c>
      <c r="D55" s="1623" t="s">
        <v>1124</v>
      </c>
      <c r="E55" s="1623" t="s">
        <v>4903</v>
      </c>
      <c r="F55" s="1621" t="s">
        <v>5098</v>
      </c>
      <c r="G55" s="1621">
        <v>115</v>
      </c>
      <c r="H55" s="1626" t="s">
        <v>1911</v>
      </c>
      <c r="I55" s="1621" t="s">
        <v>1037</v>
      </c>
      <c r="J55" s="1624">
        <v>5.5500000000000001E-2</v>
      </c>
      <c r="K55" s="1624">
        <v>2.5000000000000001E-2</v>
      </c>
      <c r="L55" s="1623" t="s">
        <v>5101</v>
      </c>
      <c r="M55" s="1625">
        <v>44287</v>
      </c>
    </row>
    <row r="56" spans="1:13" s="1353" customFormat="1" ht="29">
      <c r="A56" s="1621">
        <v>49</v>
      </c>
      <c r="B56" s="1622" t="s">
        <v>1022</v>
      </c>
      <c r="C56" s="1623" t="s">
        <v>1162</v>
      </c>
      <c r="D56" s="1623" t="s">
        <v>1124</v>
      </c>
      <c r="E56" s="1623" t="s">
        <v>4903</v>
      </c>
      <c r="F56" s="1621" t="s">
        <v>5098</v>
      </c>
      <c r="G56" s="1621">
        <v>116</v>
      </c>
      <c r="H56" s="1626" t="s">
        <v>1907</v>
      </c>
      <c r="I56" s="1621" t="s">
        <v>1037</v>
      </c>
      <c r="J56" s="1624">
        <v>-6.6600000000000006E-2</v>
      </c>
      <c r="K56" s="1624">
        <v>-0.03</v>
      </c>
      <c r="L56" s="1623" t="s">
        <v>4923</v>
      </c>
      <c r="M56" s="1625">
        <v>44287</v>
      </c>
    </row>
    <row r="57" spans="1:13" s="1353" customFormat="1" ht="58">
      <c r="A57" s="1627">
        <v>50</v>
      </c>
      <c r="B57" s="1628" t="s">
        <v>1022</v>
      </c>
      <c r="C57" s="1629" t="s">
        <v>2293</v>
      </c>
      <c r="D57" s="1629" t="s">
        <v>629</v>
      </c>
      <c r="E57" s="1629" t="s">
        <v>788</v>
      </c>
      <c r="F57" s="1627" t="s">
        <v>5098</v>
      </c>
      <c r="G57" s="1627">
        <v>41</v>
      </c>
      <c r="H57" s="1627" t="s">
        <v>1090</v>
      </c>
      <c r="I57" s="1627" t="s">
        <v>1037</v>
      </c>
      <c r="J57" s="1630" t="s">
        <v>978</v>
      </c>
      <c r="K57" s="1630" t="s">
        <v>966</v>
      </c>
      <c r="L57" s="1629" t="s">
        <v>5099</v>
      </c>
      <c r="M57" s="1631">
        <v>44225</v>
      </c>
    </row>
    <row r="58" spans="1:13" s="1356" customFormat="1" ht="58">
      <c r="A58" s="1565">
        <v>51</v>
      </c>
      <c r="B58" s="1566" t="s">
        <v>1022</v>
      </c>
      <c r="C58" s="1567" t="s">
        <v>1162</v>
      </c>
      <c r="D58" s="1567" t="s">
        <v>1124</v>
      </c>
      <c r="E58" s="1567" t="s">
        <v>788</v>
      </c>
      <c r="F58" s="1565" t="s">
        <v>5098</v>
      </c>
      <c r="G58" s="1565">
        <v>41</v>
      </c>
      <c r="H58" s="1565" t="s">
        <v>1090</v>
      </c>
      <c r="I58" s="1565" t="s">
        <v>1037</v>
      </c>
      <c r="J58" s="1568" t="s">
        <v>978</v>
      </c>
      <c r="K58" s="1568" t="s">
        <v>966</v>
      </c>
      <c r="L58" s="1567" t="s">
        <v>5100</v>
      </c>
      <c r="M58" s="1569">
        <v>44225</v>
      </c>
    </row>
    <row r="59" spans="1:13" s="1353" customFormat="1" ht="14.5">
      <c r="A59" s="1621">
        <v>52</v>
      </c>
      <c r="B59" s="1622" t="s">
        <v>990</v>
      </c>
      <c r="C59" s="1623" t="s">
        <v>2502</v>
      </c>
      <c r="D59" s="1623" t="s">
        <v>4902</v>
      </c>
      <c r="E59" s="1623" t="s">
        <v>4903</v>
      </c>
      <c r="F59" s="1621" t="s">
        <v>5098</v>
      </c>
      <c r="G59" s="1621">
        <v>95</v>
      </c>
      <c r="H59" s="1621" t="s">
        <v>1859</v>
      </c>
      <c r="I59" s="1621" t="s">
        <v>985</v>
      </c>
      <c r="J59" s="1624">
        <v>2</v>
      </c>
      <c r="K59" s="1624">
        <v>1.5</v>
      </c>
      <c r="L59" s="1623" t="s">
        <v>4905</v>
      </c>
      <c r="M59" s="1625">
        <v>44287</v>
      </c>
    </row>
    <row r="60" spans="1:13" s="1353" customFormat="1" ht="14.5">
      <c r="A60" s="1621">
        <v>53</v>
      </c>
      <c r="B60" s="1622" t="s">
        <v>990</v>
      </c>
      <c r="C60" s="1623" t="s">
        <v>2502</v>
      </c>
      <c r="D60" s="1623" t="s">
        <v>4902</v>
      </c>
      <c r="E60" s="1623" t="s">
        <v>4903</v>
      </c>
      <c r="F60" s="1621" t="s">
        <v>5098</v>
      </c>
      <c r="G60" s="1621">
        <v>95</v>
      </c>
      <c r="H60" s="1621" t="s">
        <v>1859</v>
      </c>
      <c r="I60" s="1621" t="s">
        <v>958</v>
      </c>
      <c r="J60" s="1624">
        <v>2</v>
      </c>
      <c r="K60" s="1624">
        <v>1.5</v>
      </c>
      <c r="L60" s="1623" t="s">
        <v>4905</v>
      </c>
      <c r="M60" s="1625">
        <v>44287</v>
      </c>
    </row>
    <row r="61" spans="1:13" s="1353" customFormat="1" ht="14.5">
      <c r="A61" s="1621">
        <v>54</v>
      </c>
      <c r="B61" s="1622" t="s">
        <v>990</v>
      </c>
      <c r="C61" s="1623" t="s">
        <v>2502</v>
      </c>
      <c r="D61" s="1623" t="s">
        <v>4902</v>
      </c>
      <c r="E61" s="1623" t="s">
        <v>4903</v>
      </c>
      <c r="F61" s="1621" t="s">
        <v>5098</v>
      </c>
      <c r="G61" s="1621">
        <v>95</v>
      </c>
      <c r="H61" s="1621" t="s">
        <v>1859</v>
      </c>
      <c r="I61" s="1621" t="s">
        <v>970</v>
      </c>
      <c r="J61" s="1624">
        <v>2</v>
      </c>
      <c r="K61" s="1624">
        <v>1.5</v>
      </c>
      <c r="L61" s="1623" t="s">
        <v>4905</v>
      </c>
      <c r="M61" s="1625">
        <v>44287</v>
      </c>
    </row>
    <row r="62" spans="1:13" s="1353" customFormat="1" ht="14.5">
      <c r="A62" s="1621">
        <v>55</v>
      </c>
      <c r="B62" s="1622" t="s">
        <v>990</v>
      </c>
      <c r="C62" s="1623" t="s">
        <v>2511</v>
      </c>
      <c r="D62" s="1623" t="s">
        <v>4930</v>
      </c>
      <c r="E62" s="1623" t="s">
        <v>4903</v>
      </c>
      <c r="F62" s="1621" t="s">
        <v>5098</v>
      </c>
      <c r="G62" s="1621">
        <v>85</v>
      </c>
      <c r="H62" s="1621" t="s">
        <v>1857</v>
      </c>
      <c r="I62" s="1621" t="s">
        <v>968</v>
      </c>
      <c r="J62" s="1624">
        <v>-38.001194045143002</v>
      </c>
      <c r="K62" s="1624" t="s">
        <v>4906</v>
      </c>
      <c r="L62" s="1623" t="s">
        <v>4907</v>
      </c>
      <c r="M62" s="1625">
        <v>44287</v>
      </c>
    </row>
    <row r="63" spans="1:13" s="1353" customFormat="1" ht="14.5">
      <c r="A63" s="1621">
        <v>56</v>
      </c>
      <c r="B63" s="1622" t="s">
        <v>990</v>
      </c>
      <c r="C63" s="1623" t="s">
        <v>2511</v>
      </c>
      <c r="D63" s="1623" t="s">
        <v>4930</v>
      </c>
      <c r="E63" s="1623" t="s">
        <v>4903</v>
      </c>
      <c r="F63" s="1621" t="s">
        <v>5098</v>
      </c>
      <c r="G63" s="1621">
        <v>85</v>
      </c>
      <c r="H63" s="1621" t="s">
        <v>1857</v>
      </c>
      <c r="I63" s="1621" t="s">
        <v>980</v>
      </c>
      <c r="J63" s="1624">
        <v>-38.001194045143002</v>
      </c>
      <c r="K63" s="1624" t="s">
        <v>4906</v>
      </c>
      <c r="L63" s="1623" t="s">
        <v>4907</v>
      </c>
      <c r="M63" s="1625">
        <v>44287</v>
      </c>
    </row>
    <row r="64" spans="1:13" s="1353" customFormat="1" ht="14.5">
      <c r="A64" s="1621">
        <v>57</v>
      </c>
      <c r="B64" s="1622" t="s">
        <v>990</v>
      </c>
      <c r="C64" s="1623" t="s">
        <v>2511</v>
      </c>
      <c r="D64" s="1623" t="s">
        <v>4930</v>
      </c>
      <c r="E64" s="1623" t="s">
        <v>4903</v>
      </c>
      <c r="F64" s="1621" t="s">
        <v>5098</v>
      </c>
      <c r="G64" s="1621">
        <v>85</v>
      </c>
      <c r="H64" s="1621" t="s">
        <v>1857</v>
      </c>
      <c r="I64" s="1621" t="s">
        <v>985</v>
      </c>
      <c r="J64" s="1624">
        <v>-38.001194045143002</v>
      </c>
      <c r="K64" s="1624" t="s">
        <v>4906</v>
      </c>
      <c r="L64" s="1623" t="s">
        <v>4907</v>
      </c>
      <c r="M64" s="1625">
        <v>44287</v>
      </c>
    </row>
    <row r="65" spans="1:13" s="1353" customFormat="1" ht="14.5">
      <c r="A65" s="1621">
        <v>58</v>
      </c>
      <c r="B65" s="1622" t="s">
        <v>990</v>
      </c>
      <c r="C65" s="1623" t="s">
        <v>2511</v>
      </c>
      <c r="D65" s="1623" t="s">
        <v>4930</v>
      </c>
      <c r="E65" s="1623" t="s">
        <v>4903</v>
      </c>
      <c r="F65" s="1621" t="s">
        <v>5098</v>
      </c>
      <c r="G65" s="1621">
        <v>85</v>
      </c>
      <c r="H65" s="1621" t="s">
        <v>1857</v>
      </c>
      <c r="I65" s="1621" t="s">
        <v>958</v>
      </c>
      <c r="J65" s="1624">
        <v>-38.001194045143002</v>
      </c>
      <c r="K65" s="1624" t="s">
        <v>4906</v>
      </c>
      <c r="L65" s="1623" t="s">
        <v>4907</v>
      </c>
      <c r="M65" s="1625">
        <v>44287</v>
      </c>
    </row>
    <row r="66" spans="1:13" s="1353" customFormat="1" ht="14.5">
      <c r="A66" s="1621">
        <v>59</v>
      </c>
      <c r="B66" s="1622" t="s">
        <v>990</v>
      </c>
      <c r="C66" s="1623" t="s">
        <v>2511</v>
      </c>
      <c r="D66" s="1623" t="s">
        <v>4930</v>
      </c>
      <c r="E66" s="1623" t="s">
        <v>4903</v>
      </c>
      <c r="F66" s="1621" t="s">
        <v>5098</v>
      </c>
      <c r="G66" s="1621">
        <v>85</v>
      </c>
      <c r="H66" s="1621" t="s">
        <v>1857</v>
      </c>
      <c r="I66" s="1621" t="s">
        <v>970</v>
      </c>
      <c r="J66" s="1624">
        <v>-38.001194045143002</v>
      </c>
      <c r="K66" s="1624" t="s">
        <v>4906</v>
      </c>
      <c r="L66" s="1623" t="s">
        <v>4907</v>
      </c>
      <c r="M66" s="1625">
        <v>44287</v>
      </c>
    </row>
    <row r="67" spans="1:13" s="1353" customFormat="1" ht="14.5">
      <c r="A67" s="1621">
        <v>60</v>
      </c>
      <c r="B67" s="1622" t="s">
        <v>990</v>
      </c>
      <c r="C67" s="1623" t="s">
        <v>2511</v>
      </c>
      <c r="D67" s="1623" t="s">
        <v>4930</v>
      </c>
      <c r="E67" s="1623" t="s">
        <v>4903</v>
      </c>
      <c r="F67" s="1621" t="s">
        <v>5098</v>
      </c>
      <c r="G67" s="1621">
        <v>110</v>
      </c>
      <c r="H67" s="1621" t="s">
        <v>1252</v>
      </c>
      <c r="I67" s="1621" t="s">
        <v>968</v>
      </c>
      <c r="J67" s="1624" t="s">
        <v>4797</v>
      </c>
      <c r="K67" s="1624" t="s">
        <v>4906</v>
      </c>
      <c r="L67" s="1623" t="s">
        <v>4907</v>
      </c>
      <c r="M67" s="1625"/>
    </row>
    <row r="68" spans="1:13" s="1353" customFormat="1" ht="14.5">
      <c r="A68" s="1621">
        <v>61</v>
      </c>
      <c r="B68" s="1622" t="s">
        <v>990</v>
      </c>
      <c r="C68" s="1623" t="s">
        <v>2511</v>
      </c>
      <c r="D68" s="1623" t="s">
        <v>4930</v>
      </c>
      <c r="E68" s="1623" t="s">
        <v>4903</v>
      </c>
      <c r="F68" s="1621" t="s">
        <v>5098</v>
      </c>
      <c r="G68" s="1621">
        <v>110</v>
      </c>
      <c r="H68" s="1621" t="s">
        <v>1252</v>
      </c>
      <c r="I68" s="1621" t="s">
        <v>980</v>
      </c>
      <c r="J68" s="1624" t="s">
        <v>4797</v>
      </c>
      <c r="K68" s="1624" t="s">
        <v>4906</v>
      </c>
      <c r="L68" s="1623" t="s">
        <v>4907</v>
      </c>
      <c r="M68" s="1625"/>
    </row>
    <row r="69" spans="1:13" s="1353" customFormat="1" ht="14.5">
      <c r="A69" s="1621">
        <v>62</v>
      </c>
      <c r="B69" s="1622" t="s">
        <v>990</v>
      </c>
      <c r="C69" s="1623" t="s">
        <v>2511</v>
      </c>
      <c r="D69" s="1623" t="s">
        <v>4930</v>
      </c>
      <c r="E69" s="1623" t="s">
        <v>4903</v>
      </c>
      <c r="F69" s="1621" t="s">
        <v>5098</v>
      </c>
      <c r="G69" s="1621">
        <v>110</v>
      </c>
      <c r="H69" s="1621" t="s">
        <v>1252</v>
      </c>
      <c r="I69" s="1621" t="s">
        <v>985</v>
      </c>
      <c r="J69" s="1624" t="s">
        <v>4797</v>
      </c>
      <c r="K69" s="1624" t="s">
        <v>4906</v>
      </c>
      <c r="L69" s="1623" t="s">
        <v>4907</v>
      </c>
      <c r="M69" s="1625"/>
    </row>
    <row r="70" spans="1:13" s="1353" customFormat="1" ht="14.5">
      <c r="A70" s="1621">
        <v>63</v>
      </c>
      <c r="B70" s="1622" t="s">
        <v>990</v>
      </c>
      <c r="C70" s="1623" t="s">
        <v>2511</v>
      </c>
      <c r="D70" s="1623" t="s">
        <v>4930</v>
      </c>
      <c r="E70" s="1623" t="s">
        <v>4903</v>
      </c>
      <c r="F70" s="1621" t="s">
        <v>5098</v>
      </c>
      <c r="G70" s="1621">
        <v>110</v>
      </c>
      <c r="H70" s="1621" t="s">
        <v>1252</v>
      </c>
      <c r="I70" s="1621" t="s">
        <v>958</v>
      </c>
      <c r="J70" s="1624" t="s">
        <v>4797</v>
      </c>
      <c r="K70" s="1624" t="s">
        <v>4906</v>
      </c>
      <c r="L70" s="1623" t="s">
        <v>4907</v>
      </c>
      <c r="M70" s="1625"/>
    </row>
    <row r="71" spans="1:13" s="1353" customFormat="1" ht="14.5">
      <c r="A71" s="1621">
        <v>64</v>
      </c>
      <c r="B71" s="1622" t="s">
        <v>990</v>
      </c>
      <c r="C71" s="1623" t="s">
        <v>2511</v>
      </c>
      <c r="D71" s="1623" t="s">
        <v>4930</v>
      </c>
      <c r="E71" s="1623" t="s">
        <v>4903</v>
      </c>
      <c r="F71" s="1621" t="s">
        <v>5098</v>
      </c>
      <c r="G71" s="1621">
        <v>110</v>
      </c>
      <c r="H71" s="1621" t="s">
        <v>1252</v>
      </c>
      <c r="I71" s="1621" t="s">
        <v>970</v>
      </c>
      <c r="J71" s="1624" t="s">
        <v>4797</v>
      </c>
      <c r="K71" s="1624" t="s">
        <v>4906</v>
      </c>
      <c r="L71" s="1623" t="s">
        <v>4907</v>
      </c>
      <c r="M71" s="1625"/>
    </row>
    <row r="72" spans="1:13" s="1353" customFormat="1" ht="43.5">
      <c r="A72" s="1621">
        <v>65</v>
      </c>
      <c r="B72" s="1622" t="s">
        <v>990</v>
      </c>
      <c r="C72" s="1623" t="s">
        <v>2511</v>
      </c>
      <c r="D72" s="1623" t="s">
        <v>4930</v>
      </c>
      <c r="E72" s="1623" t="s">
        <v>4903</v>
      </c>
      <c r="F72" s="1621" t="s">
        <v>5098</v>
      </c>
      <c r="G72" s="1621">
        <v>115</v>
      </c>
      <c r="H72" s="1626" t="s">
        <v>1908</v>
      </c>
      <c r="I72" s="1621" t="s">
        <v>1037</v>
      </c>
      <c r="J72" s="1624" t="s">
        <v>4906</v>
      </c>
      <c r="K72" s="1624">
        <v>-0.17499999999999999</v>
      </c>
      <c r="L72" s="1623" t="s">
        <v>4933</v>
      </c>
      <c r="M72" s="1625">
        <v>44287</v>
      </c>
    </row>
    <row r="73" spans="1:13" s="1353" customFormat="1" ht="14.5">
      <c r="A73" s="1621">
        <v>66</v>
      </c>
      <c r="B73" s="1622" t="s">
        <v>990</v>
      </c>
      <c r="C73" s="1623" t="s">
        <v>2511</v>
      </c>
      <c r="D73" s="1623" t="s">
        <v>4930</v>
      </c>
      <c r="E73" s="1623" t="s">
        <v>4903</v>
      </c>
      <c r="F73" s="1621" t="s">
        <v>5098</v>
      </c>
      <c r="G73" s="1621">
        <v>118</v>
      </c>
      <c r="H73" s="1621" t="s">
        <v>1910</v>
      </c>
      <c r="I73" s="1621" t="s">
        <v>1037</v>
      </c>
      <c r="J73" s="1624">
        <v>-0.26645000000000002</v>
      </c>
      <c r="K73" s="1624" t="s">
        <v>4906</v>
      </c>
      <c r="L73" s="1623" t="s">
        <v>4907</v>
      </c>
      <c r="M73" s="1625">
        <v>44287</v>
      </c>
    </row>
    <row r="74" spans="1:13" s="1353" customFormat="1" ht="14.5">
      <c r="A74" s="1621">
        <v>67</v>
      </c>
      <c r="B74" s="1622" t="s">
        <v>990</v>
      </c>
      <c r="C74" s="1623" t="s">
        <v>2511</v>
      </c>
      <c r="D74" s="1623" t="s">
        <v>4930</v>
      </c>
      <c r="E74" s="1623" t="s">
        <v>4903</v>
      </c>
      <c r="F74" s="1621" t="s">
        <v>5098</v>
      </c>
      <c r="G74" s="1621">
        <v>122</v>
      </c>
      <c r="H74" s="1621" t="s">
        <v>1914</v>
      </c>
      <c r="I74" s="1621" t="s">
        <v>1037</v>
      </c>
      <c r="J74" s="1624">
        <v>0.26645000000000002</v>
      </c>
      <c r="K74" s="1624" t="s">
        <v>4906</v>
      </c>
      <c r="L74" s="1623" t="s">
        <v>4907</v>
      </c>
      <c r="M74" s="1625">
        <v>44287</v>
      </c>
    </row>
    <row r="75" spans="1:13" s="1353" customFormat="1" ht="14.5">
      <c r="A75" s="1621">
        <v>68</v>
      </c>
      <c r="B75" s="1622" t="s">
        <v>990</v>
      </c>
      <c r="C75" s="1623" t="s">
        <v>2516</v>
      </c>
      <c r="D75" s="1623" t="s">
        <v>4931</v>
      </c>
      <c r="E75" s="1623" t="s">
        <v>4903</v>
      </c>
      <c r="F75" s="1621" t="s">
        <v>5098</v>
      </c>
      <c r="G75" s="1621">
        <v>85</v>
      </c>
      <c r="H75" s="1621" t="s">
        <v>1857</v>
      </c>
      <c r="I75" s="1621" t="s">
        <v>968</v>
      </c>
      <c r="J75" s="1624">
        <v>-77.267989452432403</v>
      </c>
      <c r="K75" s="1624" t="s">
        <v>4906</v>
      </c>
      <c r="L75" s="1623" t="s">
        <v>4907</v>
      </c>
      <c r="M75" s="1625">
        <v>44287</v>
      </c>
    </row>
    <row r="76" spans="1:13" s="1353" customFormat="1" ht="14.5">
      <c r="A76" s="1621">
        <v>69</v>
      </c>
      <c r="B76" s="1622" t="s">
        <v>990</v>
      </c>
      <c r="C76" s="1623" t="s">
        <v>2516</v>
      </c>
      <c r="D76" s="1623" t="s">
        <v>4931</v>
      </c>
      <c r="E76" s="1623" t="s">
        <v>4903</v>
      </c>
      <c r="F76" s="1621" t="s">
        <v>5098</v>
      </c>
      <c r="G76" s="1621">
        <v>85</v>
      </c>
      <c r="H76" s="1621" t="s">
        <v>1857</v>
      </c>
      <c r="I76" s="1621" t="s">
        <v>980</v>
      </c>
      <c r="J76" s="1624">
        <v>-77.267989452432403</v>
      </c>
      <c r="K76" s="1624" t="s">
        <v>4906</v>
      </c>
      <c r="L76" s="1623" t="s">
        <v>4907</v>
      </c>
      <c r="M76" s="1625">
        <v>44287</v>
      </c>
    </row>
    <row r="77" spans="1:13" s="1353" customFormat="1" ht="14.5">
      <c r="A77" s="1621">
        <v>70</v>
      </c>
      <c r="B77" s="1622" t="s">
        <v>990</v>
      </c>
      <c r="C77" s="1623" t="s">
        <v>2516</v>
      </c>
      <c r="D77" s="1623" t="s">
        <v>4931</v>
      </c>
      <c r="E77" s="1623" t="s">
        <v>4903</v>
      </c>
      <c r="F77" s="1621" t="s">
        <v>5098</v>
      </c>
      <c r="G77" s="1621">
        <v>85</v>
      </c>
      <c r="H77" s="1621" t="s">
        <v>1857</v>
      </c>
      <c r="I77" s="1621" t="s">
        <v>985</v>
      </c>
      <c r="J77" s="1624">
        <v>-77.267989452432403</v>
      </c>
      <c r="K77" s="1624" t="s">
        <v>4906</v>
      </c>
      <c r="L77" s="1623" t="s">
        <v>4907</v>
      </c>
      <c r="M77" s="1625">
        <v>44287</v>
      </c>
    </row>
    <row r="78" spans="1:13" s="1353" customFormat="1" ht="14.5">
      <c r="A78" s="1621">
        <v>71</v>
      </c>
      <c r="B78" s="1622" t="s">
        <v>990</v>
      </c>
      <c r="C78" s="1623" t="s">
        <v>2516</v>
      </c>
      <c r="D78" s="1623" t="s">
        <v>4931</v>
      </c>
      <c r="E78" s="1623" t="s">
        <v>4903</v>
      </c>
      <c r="F78" s="1621" t="s">
        <v>5098</v>
      </c>
      <c r="G78" s="1621">
        <v>85</v>
      </c>
      <c r="H78" s="1621" t="s">
        <v>1857</v>
      </c>
      <c r="I78" s="1621" t="s">
        <v>958</v>
      </c>
      <c r="J78" s="1624">
        <v>-77.267989452432403</v>
      </c>
      <c r="K78" s="1624" t="s">
        <v>4906</v>
      </c>
      <c r="L78" s="1623" t="s">
        <v>4907</v>
      </c>
      <c r="M78" s="1625">
        <v>44287</v>
      </c>
    </row>
    <row r="79" spans="1:13" s="1353" customFormat="1" ht="14.5">
      <c r="A79" s="1621">
        <v>72</v>
      </c>
      <c r="B79" s="1622" t="s">
        <v>990</v>
      </c>
      <c r="C79" s="1623" t="s">
        <v>2516</v>
      </c>
      <c r="D79" s="1623" t="s">
        <v>4931</v>
      </c>
      <c r="E79" s="1623" t="s">
        <v>4903</v>
      </c>
      <c r="F79" s="1621" t="s">
        <v>5098</v>
      </c>
      <c r="G79" s="1621">
        <v>85</v>
      </c>
      <c r="H79" s="1621" t="s">
        <v>1857</v>
      </c>
      <c r="I79" s="1621" t="s">
        <v>970</v>
      </c>
      <c r="J79" s="1624">
        <v>-77.267989452432403</v>
      </c>
      <c r="K79" s="1624" t="s">
        <v>4906</v>
      </c>
      <c r="L79" s="1623" t="s">
        <v>4907</v>
      </c>
      <c r="M79" s="1625">
        <v>44287</v>
      </c>
    </row>
    <row r="80" spans="1:13" s="1353" customFormat="1" ht="14.5">
      <c r="A80" s="1621">
        <v>73</v>
      </c>
      <c r="B80" s="1622" t="s">
        <v>990</v>
      </c>
      <c r="C80" s="1623" t="s">
        <v>2516</v>
      </c>
      <c r="D80" s="1623" t="s">
        <v>4931</v>
      </c>
      <c r="E80" s="1623" t="s">
        <v>4903</v>
      </c>
      <c r="F80" s="1621" t="s">
        <v>5098</v>
      </c>
      <c r="G80" s="1621">
        <v>110</v>
      </c>
      <c r="H80" s="1621" t="s">
        <v>1252</v>
      </c>
      <c r="I80" s="1621" t="s">
        <v>968</v>
      </c>
      <c r="J80" s="1624" t="s">
        <v>4797</v>
      </c>
      <c r="K80" s="1624" t="s">
        <v>4906</v>
      </c>
      <c r="L80" s="1623" t="s">
        <v>4907</v>
      </c>
      <c r="M80" s="1625"/>
    </row>
    <row r="81" spans="1:13" s="1353" customFormat="1" ht="14.5">
      <c r="A81" s="1621">
        <v>74</v>
      </c>
      <c r="B81" s="1622" t="s">
        <v>990</v>
      </c>
      <c r="C81" s="1623" t="s">
        <v>2516</v>
      </c>
      <c r="D81" s="1623" t="s">
        <v>4931</v>
      </c>
      <c r="E81" s="1623" t="s">
        <v>4903</v>
      </c>
      <c r="F81" s="1621" t="s">
        <v>5098</v>
      </c>
      <c r="G81" s="1621">
        <v>110</v>
      </c>
      <c r="H81" s="1621" t="s">
        <v>1252</v>
      </c>
      <c r="I81" s="1621" t="s">
        <v>980</v>
      </c>
      <c r="J81" s="1624" t="s">
        <v>4797</v>
      </c>
      <c r="K81" s="1624" t="s">
        <v>4906</v>
      </c>
      <c r="L81" s="1623" t="s">
        <v>4907</v>
      </c>
      <c r="M81" s="1625"/>
    </row>
    <row r="82" spans="1:13" s="1353" customFormat="1" ht="14.5">
      <c r="A82" s="1621">
        <v>75</v>
      </c>
      <c r="B82" s="1622" t="s">
        <v>990</v>
      </c>
      <c r="C82" s="1623" t="s">
        <v>2516</v>
      </c>
      <c r="D82" s="1623" t="s">
        <v>4931</v>
      </c>
      <c r="E82" s="1623" t="s">
        <v>4903</v>
      </c>
      <c r="F82" s="1621" t="s">
        <v>5098</v>
      </c>
      <c r="G82" s="1621">
        <v>110</v>
      </c>
      <c r="H82" s="1621" t="s">
        <v>1252</v>
      </c>
      <c r="I82" s="1621" t="s">
        <v>985</v>
      </c>
      <c r="J82" s="1624" t="s">
        <v>4797</v>
      </c>
      <c r="K82" s="1624" t="s">
        <v>4906</v>
      </c>
      <c r="L82" s="1623" t="s">
        <v>4907</v>
      </c>
      <c r="M82" s="1625"/>
    </row>
    <row r="83" spans="1:13" s="1353" customFormat="1" ht="14.5">
      <c r="A83" s="1621">
        <v>76</v>
      </c>
      <c r="B83" s="1622" t="s">
        <v>990</v>
      </c>
      <c r="C83" s="1623" t="s">
        <v>2516</v>
      </c>
      <c r="D83" s="1623" t="s">
        <v>4931</v>
      </c>
      <c r="E83" s="1623" t="s">
        <v>4903</v>
      </c>
      <c r="F83" s="1621" t="s">
        <v>5098</v>
      </c>
      <c r="G83" s="1621">
        <v>110</v>
      </c>
      <c r="H83" s="1621" t="s">
        <v>1252</v>
      </c>
      <c r="I83" s="1621" t="s">
        <v>958</v>
      </c>
      <c r="J83" s="1624" t="s">
        <v>4797</v>
      </c>
      <c r="K83" s="1624" t="s">
        <v>4906</v>
      </c>
      <c r="L83" s="1623" t="s">
        <v>4907</v>
      </c>
      <c r="M83" s="1625"/>
    </row>
    <row r="84" spans="1:13" s="1353" customFormat="1" ht="14.5">
      <c r="A84" s="1621">
        <v>77</v>
      </c>
      <c r="B84" s="1622" t="s">
        <v>990</v>
      </c>
      <c r="C84" s="1623" t="s">
        <v>2516</v>
      </c>
      <c r="D84" s="1623" t="s">
        <v>4931</v>
      </c>
      <c r="E84" s="1623" t="s">
        <v>4903</v>
      </c>
      <c r="F84" s="1621" t="s">
        <v>5098</v>
      </c>
      <c r="G84" s="1621">
        <v>110</v>
      </c>
      <c r="H84" s="1621" t="s">
        <v>1252</v>
      </c>
      <c r="I84" s="1621" t="s">
        <v>970</v>
      </c>
      <c r="J84" s="1624" t="s">
        <v>4797</v>
      </c>
      <c r="K84" s="1624" t="s">
        <v>4906</v>
      </c>
      <c r="L84" s="1623" t="s">
        <v>4907</v>
      </c>
      <c r="M84" s="1625"/>
    </row>
    <row r="85" spans="1:13" s="1353" customFormat="1" ht="43.5">
      <c r="A85" s="1621">
        <v>78</v>
      </c>
      <c r="B85" s="1622" t="s">
        <v>990</v>
      </c>
      <c r="C85" s="1623" t="s">
        <v>2516</v>
      </c>
      <c r="D85" s="1623" t="s">
        <v>4931</v>
      </c>
      <c r="E85" s="1623" t="s">
        <v>4903</v>
      </c>
      <c r="F85" s="1621" t="s">
        <v>5098</v>
      </c>
      <c r="G85" s="1621">
        <v>115</v>
      </c>
      <c r="H85" s="1626" t="s">
        <v>1908</v>
      </c>
      <c r="I85" s="1621" t="s">
        <v>1037</v>
      </c>
      <c r="J85" s="1624" t="s">
        <v>4906</v>
      </c>
      <c r="K85" s="1624">
        <v>-0.18</v>
      </c>
      <c r="L85" s="1623" t="s">
        <v>4934</v>
      </c>
      <c r="M85" s="1625">
        <v>44287</v>
      </c>
    </row>
    <row r="86" spans="1:13" s="1353" customFormat="1" ht="14.5">
      <c r="A86" s="1621">
        <v>79</v>
      </c>
      <c r="B86" s="1622" t="s">
        <v>990</v>
      </c>
      <c r="C86" s="1623" t="s">
        <v>2516</v>
      </c>
      <c r="D86" s="1623" t="s">
        <v>4931</v>
      </c>
      <c r="E86" s="1623" t="s">
        <v>4903</v>
      </c>
      <c r="F86" s="1621" t="s">
        <v>5098</v>
      </c>
      <c r="G86" s="1621">
        <v>118</v>
      </c>
      <c r="H86" s="1621" t="s">
        <v>1910</v>
      </c>
      <c r="I86" s="1621" t="s">
        <v>1037</v>
      </c>
      <c r="J86" s="1624">
        <v>-0.48801299999999997</v>
      </c>
      <c r="K86" s="1624" t="s">
        <v>4906</v>
      </c>
      <c r="L86" s="1623" t="s">
        <v>4907</v>
      </c>
      <c r="M86" s="1625">
        <v>44287</v>
      </c>
    </row>
    <row r="87" spans="1:13" s="1353" customFormat="1" ht="14.5">
      <c r="A87" s="1621">
        <v>80</v>
      </c>
      <c r="B87" s="1622" t="s">
        <v>990</v>
      </c>
      <c r="C87" s="1623" t="s">
        <v>2516</v>
      </c>
      <c r="D87" s="1623" t="s">
        <v>4931</v>
      </c>
      <c r="E87" s="1623" t="s">
        <v>4903</v>
      </c>
      <c r="F87" s="1621" t="s">
        <v>5098</v>
      </c>
      <c r="G87" s="1621">
        <v>122</v>
      </c>
      <c r="H87" s="1621" t="s">
        <v>1914</v>
      </c>
      <c r="I87" s="1621" t="s">
        <v>1037</v>
      </c>
      <c r="J87" s="1624">
        <v>0.48801299999999997</v>
      </c>
      <c r="K87" s="1624" t="s">
        <v>4906</v>
      </c>
      <c r="L87" s="1623" t="s">
        <v>4907</v>
      </c>
      <c r="M87" s="1625">
        <v>44287</v>
      </c>
    </row>
    <row r="88" spans="1:13" s="1353" customFormat="1" ht="14.5">
      <c r="A88" s="1621">
        <v>81</v>
      </c>
      <c r="B88" s="1634" t="s">
        <v>990</v>
      </c>
      <c r="C88" s="1623" t="s">
        <v>2542</v>
      </c>
      <c r="D88" s="1623" t="s">
        <v>4911</v>
      </c>
      <c r="E88" s="1623" t="s">
        <v>4903</v>
      </c>
      <c r="F88" s="1621" t="s">
        <v>5098</v>
      </c>
      <c r="G88" s="1621">
        <v>95</v>
      </c>
      <c r="H88" s="1621" t="s">
        <v>1859</v>
      </c>
      <c r="I88" s="1621" t="s">
        <v>968</v>
      </c>
      <c r="J88" s="1624" t="s">
        <v>4906</v>
      </c>
      <c r="K88" s="1633">
        <v>151.9</v>
      </c>
      <c r="L88" s="1623" t="s">
        <v>4912</v>
      </c>
      <c r="M88" s="1625">
        <v>44287</v>
      </c>
    </row>
    <row r="89" spans="1:13" s="1353" customFormat="1" ht="14.5">
      <c r="A89" s="1621">
        <v>82</v>
      </c>
      <c r="B89" s="1634" t="s">
        <v>990</v>
      </c>
      <c r="C89" s="1623" t="s">
        <v>2542</v>
      </c>
      <c r="D89" s="1623" t="s">
        <v>4911</v>
      </c>
      <c r="E89" s="1623" t="s">
        <v>4903</v>
      </c>
      <c r="F89" s="1621" t="s">
        <v>5098</v>
      </c>
      <c r="G89" s="1621">
        <v>95</v>
      </c>
      <c r="H89" s="1621" t="s">
        <v>1859</v>
      </c>
      <c r="I89" s="1621" t="s">
        <v>980</v>
      </c>
      <c r="J89" s="1624" t="s">
        <v>4906</v>
      </c>
      <c r="K89" s="1633">
        <v>147.1</v>
      </c>
      <c r="L89" s="1623" t="s">
        <v>4912</v>
      </c>
      <c r="M89" s="1625">
        <v>44287</v>
      </c>
    </row>
    <row r="90" spans="1:13" s="1353" customFormat="1" ht="14.5">
      <c r="A90" s="1621">
        <v>83</v>
      </c>
      <c r="B90" s="1634" t="s">
        <v>990</v>
      </c>
      <c r="C90" s="1623" t="s">
        <v>2542</v>
      </c>
      <c r="D90" s="1623" t="s">
        <v>4911</v>
      </c>
      <c r="E90" s="1623" t="s">
        <v>4903</v>
      </c>
      <c r="F90" s="1621" t="s">
        <v>5098</v>
      </c>
      <c r="G90" s="1621">
        <v>95</v>
      </c>
      <c r="H90" s="1621" t="s">
        <v>1859</v>
      </c>
      <c r="I90" s="1621" t="s">
        <v>985</v>
      </c>
      <c r="J90" s="1624" t="s">
        <v>4906</v>
      </c>
      <c r="K90" s="1633">
        <v>142.4</v>
      </c>
      <c r="L90" s="1623" t="s">
        <v>4912</v>
      </c>
      <c r="M90" s="1625">
        <v>44287</v>
      </c>
    </row>
    <row r="91" spans="1:13" s="1353" customFormat="1" ht="14.5">
      <c r="A91" s="1621">
        <v>84</v>
      </c>
      <c r="B91" s="1634" t="s">
        <v>990</v>
      </c>
      <c r="C91" s="1623" t="s">
        <v>2542</v>
      </c>
      <c r="D91" s="1623" t="s">
        <v>4911</v>
      </c>
      <c r="E91" s="1623" t="s">
        <v>4903</v>
      </c>
      <c r="F91" s="1621" t="s">
        <v>5098</v>
      </c>
      <c r="G91" s="1621">
        <v>95</v>
      </c>
      <c r="H91" s="1621" t="s">
        <v>1859</v>
      </c>
      <c r="I91" s="1621" t="s">
        <v>958</v>
      </c>
      <c r="J91" s="1624" t="s">
        <v>4906</v>
      </c>
      <c r="K91" s="1633">
        <v>137.9</v>
      </c>
      <c r="L91" s="1623" t="s">
        <v>4912</v>
      </c>
      <c r="M91" s="1625">
        <v>44287</v>
      </c>
    </row>
    <row r="92" spans="1:13" s="1353" customFormat="1" ht="14.5">
      <c r="A92" s="1621">
        <v>85</v>
      </c>
      <c r="B92" s="1634" t="s">
        <v>990</v>
      </c>
      <c r="C92" s="1623" t="s">
        <v>2542</v>
      </c>
      <c r="D92" s="1623" t="s">
        <v>4911</v>
      </c>
      <c r="E92" s="1623" t="s">
        <v>4903</v>
      </c>
      <c r="F92" s="1621" t="s">
        <v>5098</v>
      </c>
      <c r="G92" s="1621">
        <v>95</v>
      </c>
      <c r="H92" s="1621" t="s">
        <v>1859</v>
      </c>
      <c r="I92" s="1621" t="s">
        <v>970</v>
      </c>
      <c r="J92" s="1624" t="s">
        <v>4906</v>
      </c>
      <c r="K92" s="1633">
        <v>133.4</v>
      </c>
      <c r="L92" s="1623" t="s">
        <v>4912</v>
      </c>
      <c r="M92" s="1625">
        <v>44287</v>
      </c>
    </row>
    <row r="93" spans="1:13" s="1353" customFormat="1" ht="14.5">
      <c r="A93" s="1621">
        <v>86</v>
      </c>
      <c r="B93" s="1634" t="s">
        <v>990</v>
      </c>
      <c r="C93" s="1623" t="s">
        <v>2546</v>
      </c>
      <c r="D93" s="1623" t="s">
        <v>4913</v>
      </c>
      <c r="E93" s="1623" t="s">
        <v>4903</v>
      </c>
      <c r="F93" s="1621" t="s">
        <v>5098</v>
      </c>
      <c r="G93" s="1621">
        <v>95</v>
      </c>
      <c r="H93" s="1621" t="s">
        <v>1859</v>
      </c>
      <c r="I93" s="1621" t="s">
        <v>968</v>
      </c>
      <c r="J93" s="1624" t="s">
        <v>4906</v>
      </c>
      <c r="K93" s="1632">
        <v>7.64</v>
      </c>
      <c r="L93" s="1623" t="s">
        <v>4932</v>
      </c>
      <c r="M93" s="1625">
        <v>44287</v>
      </c>
    </row>
    <row r="94" spans="1:13" s="1353" customFormat="1" ht="14.5">
      <c r="A94" s="1621">
        <v>87</v>
      </c>
      <c r="B94" s="1634" t="s">
        <v>990</v>
      </c>
      <c r="C94" s="1623" t="s">
        <v>2546</v>
      </c>
      <c r="D94" s="1623" t="s">
        <v>4913</v>
      </c>
      <c r="E94" s="1623" t="s">
        <v>4903</v>
      </c>
      <c r="F94" s="1621" t="s">
        <v>5098</v>
      </c>
      <c r="G94" s="1621">
        <v>95</v>
      </c>
      <c r="H94" s="1621" t="s">
        <v>1859</v>
      </c>
      <c r="I94" s="1621" t="s">
        <v>980</v>
      </c>
      <c r="J94" s="1624" t="s">
        <v>4906</v>
      </c>
      <c r="K94" s="1632">
        <v>6.43</v>
      </c>
      <c r="L94" s="1623" t="s">
        <v>4932</v>
      </c>
      <c r="M94" s="1625">
        <v>44287</v>
      </c>
    </row>
    <row r="95" spans="1:13" s="1353" customFormat="1" ht="14.5">
      <c r="A95" s="1621">
        <v>88</v>
      </c>
      <c r="B95" s="1634" t="s">
        <v>990</v>
      </c>
      <c r="C95" s="1623" t="s">
        <v>2546</v>
      </c>
      <c r="D95" s="1623" t="s">
        <v>4913</v>
      </c>
      <c r="E95" s="1623" t="s">
        <v>4903</v>
      </c>
      <c r="F95" s="1621" t="s">
        <v>5098</v>
      </c>
      <c r="G95" s="1621">
        <v>95</v>
      </c>
      <c r="H95" s="1621" t="s">
        <v>1859</v>
      </c>
      <c r="I95" s="1621" t="s">
        <v>985</v>
      </c>
      <c r="J95" s="1624" t="s">
        <v>4906</v>
      </c>
      <c r="K95" s="1632">
        <v>5.23</v>
      </c>
      <c r="L95" s="1623" t="s">
        <v>4932</v>
      </c>
      <c r="M95" s="1625">
        <v>44287</v>
      </c>
    </row>
    <row r="96" spans="1:13" s="1353" customFormat="1" ht="14.5">
      <c r="A96" s="1621">
        <v>89</v>
      </c>
      <c r="B96" s="1634" t="s">
        <v>990</v>
      </c>
      <c r="C96" s="1623" t="s">
        <v>2546</v>
      </c>
      <c r="D96" s="1623" t="s">
        <v>4913</v>
      </c>
      <c r="E96" s="1623" t="s">
        <v>4903</v>
      </c>
      <c r="F96" s="1621" t="s">
        <v>5098</v>
      </c>
      <c r="G96" s="1621">
        <v>95</v>
      </c>
      <c r="H96" s="1621" t="s">
        <v>1859</v>
      </c>
      <c r="I96" s="1621" t="s">
        <v>958</v>
      </c>
      <c r="J96" s="1624" t="s">
        <v>4906</v>
      </c>
      <c r="K96" s="1632">
        <v>4.0199999999999996</v>
      </c>
      <c r="L96" s="1623" t="s">
        <v>4932</v>
      </c>
      <c r="M96" s="1625">
        <v>44287</v>
      </c>
    </row>
    <row r="97" spans="1:13" s="1353" customFormat="1" ht="14.5">
      <c r="A97" s="1621">
        <v>90</v>
      </c>
      <c r="B97" s="1634" t="s">
        <v>990</v>
      </c>
      <c r="C97" s="1623" t="s">
        <v>2546</v>
      </c>
      <c r="D97" s="1623" t="s">
        <v>4913</v>
      </c>
      <c r="E97" s="1623" t="s">
        <v>4903</v>
      </c>
      <c r="F97" s="1621" t="s">
        <v>5098</v>
      </c>
      <c r="G97" s="1621">
        <v>95</v>
      </c>
      <c r="H97" s="1621" t="s">
        <v>1859</v>
      </c>
      <c r="I97" s="1621" t="s">
        <v>970</v>
      </c>
      <c r="J97" s="1624" t="s">
        <v>4906</v>
      </c>
      <c r="K97" s="1632">
        <v>2.81</v>
      </c>
      <c r="L97" s="1623" t="s">
        <v>4932</v>
      </c>
      <c r="M97" s="1625">
        <v>44287</v>
      </c>
    </row>
    <row r="98" spans="1:13" s="1353" customFormat="1" ht="58">
      <c r="A98" s="1627">
        <v>91</v>
      </c>
      <c r="B98" s="1628" t="s">
        <v>990</v>
      </c>
      <c r="C98" s="1629" t="s">
        <v>2511</v>
      </c>
      <c r="D98" s="1629" t="s">
        <v>629</v>
      </c>
      <c r="E98" s="1629" t="s">
        <v>788</v>
      </c>
      <c r="F98" s="1627" t="s">
        <v>5098</v>
      </c>
      <c r="G98" s="1627">
        <v>41</v>
      </c>
      <c r="H98" s="1627" t="s">
        <v>1090</v>
      </c>
      <c r="I98" s="1627" t="s">
        <v>1037</v>
      </c>
      <c r="J98" s="1630" t="s">
        <v>978</v>
      </c>
      <c r="K98" s="1630" t="s">
        <v>966</v>
      </c>
      <c r="L98" s="1629" t="s">
        <v>5099</v>
      </c>
      <c r="M98" s="1631">
        <v>44225</v>
      </c>
    </row>
    <row r="99" spans="1:13" s="1353" customFormat="1" ht="58">
      <c r="A99" s="1627">
        <v>92</v>
      </c>
      <c r="B99" s="1628" t="s">
        <v>990</v>
      </c>
      <c r="C99" s="1629" t="s">
        <v>2516</v>
      </c>
      <c r="D99" s="1629" t="s">
        <v>629</v>
      </c>
      <c r="E99" s="1629" t="s">
        <v>788</v>
      </c>
      <c r="F99" s="1627" t="s">
        <v>5098</v>
      </c>
      <c r="G99" s="1627">
        <v>41</v>
      </c>
      <c r="H99" s="1627" t="s">
        <v>1090</v>
      </c>
      <c r="I99" s="1627" t="s">
        <v>1037</v>
      </c>
      <c r="J99" s="1630" t="s">
        <v>978</v>
      </c>
      <c r="K99" s="1630" t="s">
        <v>966</v>
      </c>
      <c r="L99" s="1629" t="s">
        <v>5099</v>
      </c>
      <c r="M99" s="1631">
        <v>44225</v>
      </c>
    </row>
    <row r="100" spans="1:13" s="1353" customFormat="1" ht="58">
      <c r="A100" s="1627">
        <v>93</v>
      </c>
      <c r="B100" s="1628" t="s">
        <v>990</v>
      </c>
      <c r="C100" s="1629" t="s">
        <v>1134</v>
      </c>
      <c r="D100" s="1629" t="s">
        <v>1124</v>
      </c>
      <c r="E100" s="1629" t="s">
        <v>788</v>
      </c>
      <c r="F100" s="1627" t="s">
        <v>5098</v>
      </c>
      <c r="G100" s="1627">
        <v>41</v>
      </c>
      <c r="H100" s="1627" t="s">
        <v>1090</v>
      </c>
      <c r="I100" s="1627" t="s">
        <v>1037</v>
      </c>
      <c r="J100" s="1630" t="s">
        <v>978</v>
      </c>
      <c r="K100" s="1630" t="s">
        <v>966</v>
      </c>
      <c r="L100" s="1629" t="s">
        <v>5100</v>
      </c>
      <c r="M100" s="1631">
        <v>44225</v>
      </c>
    </row>
    <row r="101" spans="1:13" s="1353" customFormat="1" ht="14.5">
      <c r="A101" s="1621">
        <v>94</v>
      </c>
      <c r="B101" s="1634" t="s">
        <v>1015</v>
      </c>
      <c r="C101" s="1635" t="s">
        <v>4653</v>
      </c>
      <c r="D101" s="1635" t="s">
        <v>4902</v>
      </c>
      <c r="E101" s="1623" t="s">
        <v>4903</v>
      </c>
      <c r="F101" s="1621" t="s">
        <v>5098</v>
      </c>
      <c r="G101" s="1621">
        <v>95</v>
      </c>
      <c r="H101" s="1621" t="s">
        <v>1859</v>
      </c>
      <c r="I101" s="1621" t="s">
        <v>985</v>
      </c>
      <c r="J101" s="1624">
        <v>2</v>
      </c>
      <c r="K101" s="1624">
        <v>1.5</v>
      </c>
      <c r="L101" s="1623" t="s">
        <v>4905</v>
      </c>
      <c r="M101" s="1625">
        <v>44287</v>
      </c>
    </row>
    <row r="102" spans="1:13" s="1353" customFormat="1" ht="14.5">
      <c r="A102" s="1621">
        <v>95</v>
      </c>
      <c r="B102" s="1634" t="s">
        <v>1015</v>
      </c>
      <c r="C102" s="1635" t="s">
        <v>4653</v>
      </c>
      <c r="D102" s="1635" t="s">
        <v>4902</v>
      </c>
      <c r="E102" s="1623" t="s">
        <v>4903</v>
      </c>
      <c r="F102" s="1621" t="s">
        <v>5098</v>
      </c>
      <c r="G102" s="1621">
        <v>95</v>
      </c>
      <c r="H102" s="1621" t="s">
        <v>1859</v>
      </c>
      <c r="I102" s="1621" t="s">
        <v>958</v>
      </c>
      <c r="J102" s="1624">
        <v>2</v>
      </c>
      <c r="K102" s="1624">
        <v>1.5</v>
      </c>
      <c r="L102" s="1623" t="s">
        <v>4905</v>
      </c>
      <c r="M102" s="1625">
        <v>44287</v>
      </c>
    </row>
    <row r="103" spans="1:13" s="1353" customFormat="1" ht="14.5">
      <c r="A103" s="1621">
        <v>96</v>
      </c>
      <c r="B103" s="1634" t="s">
        <v>1015</v>
      </c>
      <c r="C103" s="1635" t="s">
        <v>4653</v>
      </c>
      <c r="D103" s="1635" t="s">
        <v>4902</v>
      </c>
      <c r="E103" s="1623" t="s">
        <v>4903</v>
      </c>
      <c r="F103" s="1621" t="s">
        <v>5098</v>
      </c>
      <c r="G103" s="1621">
        <v>95</v>
      </c>
      <c r="H103" s="1621" t="s">
        <v>1859</v>
      </c>
      <c r="I103" s="1621" t="s">
        <v>970</v>
      </c>
      <c r="J103" s="1624">
        <v>2</v>
      </c>
      <c r="K103" s="1624">
        <v>1.5</v>
      </c>
      <c r="L103" s="1623" t="s">
        <v>4905</v>
      </c>
      <c r="M103" s="1625">
        <v>44287</v>
      </c>
    </row>
    <row r="104" spans="1:13" s="1353" customFormat="1" ht="14.5">
      <c r="A104" s="1621">
        <v>97</v>
      </c>
      <c r="B104" s="1622" t="s">
        <v>1015</v>
      </c>
      <c r="C104" s="1623" t="s">
        <v>4659</v>
      </c>
      <c r="D104" s="1623" t="s">
        <v>629</v>
      </c>
      <c r="E104" s="1623" t="s">
        <v>4903</v>
      </c>
      <c r="F104" s="1621" t="s">
        <v>5098</v>
      </c>
      <c r="G104" s="1621">
        <v>85</v>
      </c>
      <c r="H104" s="1621" t="s">
        <v>1857</v>
      </c>
      <c r="I104" s="1621" t="s">
        <v>968</v>
      </c>
      <c r="J104" s="1624">
        <v>-19.975250626673098</v>
      </c>
      <c r="K104" s="1624" t="s">
        <v>4906</v>
      </c>
      <c r="L104" s="1623" t="s">
        <v>4907</v>
      </c>
      <c r="M104" s="1625">
        <v>44287</v>
      </c>
    </row>
    <row r="105" spans="1:13" s="1353" customFormat="1" ht="14.5">
      <c r="A105" s="1621">
        <v>98</v>
      </c>
      <c r="B105" s="1622" t="s">
        <v>1015</v>
      </c>
      <c r="C105" s="1623" t="s">
        <v>4659</v>
      </c>
      <c r="D105" s="1623" t="s">
        <v>629</v>
      </c>
      <c r="E105" s="1623" t="s">
        <v>4903</v>
      </c>
      <c r="F105" s="1621" t="s">
        <v>5098</v>
      </c>
      <c r="G105" s="1621">
        <v>85</v>
      </c>
      <c r="H105" s="1621" t="s">
        <v>1857</v>
      </c>
      <c r="I105" s="1621" t="s">
        <v>980</v>
      </c>
      <c r="J105" s="1624">
        <v>-19.975250626673098</v>
      </c>
      <c r="K105" s="1624" t="s">
        <v>4906</v>
      </c>
      <c r="L105" s="1623" t="s">
        <v>4907</v>
      </c>
      <c r="M105" s="1625">
        <v>44287</v>
      </c>
    </row>
    <row r="106" spans="1:13" s="1353" customFormat="1" ht="14.5">
      <c r="A106" s="1621">
        <v>99</v>
      </c>
      <c r="B106" s="1622" t="s">
        <v>1015</v>
      </c>
      <c r="C106" s="1623" t="s">
        <v>4659</v>
      </c>
      <c r="D106" s="1623" t="s">
        <v>629</v>
      </c>
      <c r="E106" s="1623" t="s">
        <v>4903</v>
      </c>
      <c r="F106" s="1621" t="s">
        <v>5098</v>
      </c>
      <c r="G106" s="1621">
        <v>85</v>
      </c>
      <c r="H106" s="1621" t="s">
        <v>1857</v>
      </c>
      <c r="I106" s="1621" t="s">
        <v>985</v>
      </c>
      <c r="J106" s="1624">
        <v>-19.975250626673098</v>
      </c>
      <c r="K106" s="1624" t="s">
        <v>4906</v>
      </c>
      <c r="L106" s="1623" t="s">
        <v>4907</v>
      </c>
      <c r="M106" s="1625">
        <v>44287</v>
      </c>
    </row>
    <row r="107" spans="1:13" s="1353" customFormat="1" ht="14.5">
      <c r="A107" s="1621">
        <v>100</v>
      </c>
      <c r="B107" s="1622" t="s">
        <v>1015</v>
      </c>
      <c r="C107" s="1623" t="s">
        <v>4659</v>
      </c>
      <c r="D107" s="1623" t="s">
        <v>629</v>
      </c>
      <c r="E107" s="1623" t="s">
        <v>4903</v>
      </c>
      <c r="F107" s="1621" t="s">
        <v>5098</v>
      </c>
      <c r="G107" s="1621">
        <v>85</v>
      </c>
      <c r="H107" s="1621" t="s">
        <v>1857</v>
      </c>
      <c r="I107" s="1621" t="s">
        <v>958</v>
      </c>
      <c r="J107" s="1624">
        <v>-19.975250626673098</v>
      </c>
      <c r="K107" s="1624" t="s">
        <v>4906</v>
      </c>
      <c r="L107" s="1623" t="s">
        <v>4907</v>
      </c>
      <c r="M107" s="1625">
        <v>44287</v>
      </c>
    </row>
    <row r="108" spans="1:13" s="1353" customFormat="1" ht="14.5">
      <c r="A108" s="1621">
        <v>101</v>
      </c>
      <c r="B108" s="1622" t="s">
        <v>1015</v>
      </c>
      <c r="C108" s="1623" t="s">
        <v>4659</v>
      </c>
      <c r="D108" s="1623" t="s">
        <v>629</v>
      </c>
      <c r="E108" s="1623" t="s">
        <v>4903</v>
      </c>
      <c r="F108" s="1621" t="s">
        <v>5098</v>
      </c>
      <c r="G108" s="1621">
        <v>85</v>
      </c>
      <c r="H108" s="1621" t="s">
        <v>1857</v>
      </c>
      <c r="I108" s="1621" t="s">
        <v>970</v>
      </c>
      <c r="J108" s="1624">
        <v>-19.975250626673098</v>
      </c>
      <c r="K108" s="1624" t="s">
        <v>4906</v>
      </c>
      <c r="L108" s="1623" t="s">
        <v>4907</v>
      </c>
      <c r="M108" s="1625">
        <v>44287</v>
      </c>
    </row>
    <row r="109" spans="1:13" s="1353" customFormat="1" ht="14.5">
      <c r="A109" s="1621">
        <v>102</v>
      </c>
      <c r="B109" s="1622" t="s">
        <v>1015</v>
      </c>
      <c r="C109" s="1623" t="s">
        <v>4659</v>
      </c>
      <c r="D109" s="1623" t="s">
        <v>629</v>
      </c>
      <c r="E109" s="1623" t="s">
        <v>4903</v>
      </c>
      <c r="F109" s="1621" t="s">
        <v>5098</v>
      </c>
      <c r="G109" s="1621">
        <v>110</v>
      </c>
      <c r="H109" s="1621" t="s">
        <v>1862</v>
      </c>
      <c r="I109" s="1621" t="s">
        <v>968</v>
      </c>
      <c r="J109" s="1624" t="s">
        <v>4797</v>
      </c>
      <c r="K109" s="1624" t="s">
        <v>4906</v>
      </c>
      <c r="L109" s="1623" t="s">
        <v>4907</v>
      </c>
      <c r="M109" s="1625">
        <v>44287</v>
      </c>
    </row>
    <row r="110" spans="1:13" s="1353" customFormat="1" ht="14.5">
      <c r="A110" s="1621">
        <v>103</v>
      </c>
      <c r="B110" s="1622" t="s">
        <v>1015</v>
      </c>
      <c r="C110" s="1623" t="s">
        <v>4659</v>
      </c>
      <c r="D110" s="1623" t="s">
        <v>629</v>
      </c>
      <c r="E110" s="1623" t="s">
        <v>4903</v>
      </c>
      <c r="F110" s="1621" t="s">
        <v>5098</v>
      </c>
      <c r="G110" s="1621">
        <v>110</v>
      </c>
      <c r="H110" s="1621" t="s">
        <v>1862</v>
      </c>
      <c r="I110" s="1621" t="s">
        <v>980</v>
      </c>
      <c r="J110" s="1624" t="s">
        <v>4797</v>
      </c>
      <c r="K110" s="1624" t="s">
        <v>4906</v>
      </c>
      <c r="L110" s="1623" t="s">
        <v>4907</v>
      </c>
      <c r="M110" s="1625">
        <v>44287</v>
      </c>
    </row>
    <row r="111" spans="1:13" s="1353" customFormat="1" ht="14.5">
      <c r="A111" s="1621">
        <v>104</v>
      </c>
      <c r="B111" s="1622" t="s">
        <v>1015</v>
      </c>
      <c r="C111" s="1623" t="s">
        <v>4659</v>
      </c>
      <c r="D111" s="1623" t="s">
        <v>629</v>
      </c>
      <c r="E111" s="1623" t="s">
        <v>4903</v>
      </c>
      <c r="F111" s="1621" t="s">
        <v>5098</v>
      </c>
      <c r="G111" s="1621">
        <v>110</v>
      </c>
      <c r="H111" s="1621" t="s">
        <v>1862</v>
      </c>
      <c r="I111" s="1621" t="s">
        <v>985</v>
      </c>
      <c r="J111" s="1624" t="s">
        <v>4797</v>
      </c>
      <c r="K111" s="1624" t="s">
        <v>4906</v>
      </c>
      <c r="L111" s="1623" t="s">
        <v>4907</v>
      </c>
      <c r="M111" s="1625">
        <v>44287</v>
      </c>
    </row>
    <row r="112" spans="1:13" s="1353" customFormat="1" ht="14.5">
      <c r="A112" s="1621">
        <v>105</v>
      </c>
      <c r="B112" s="1622" t="s">
        <v>1015</v>
      </c>
      <c r="C112" s="1623" t="s">
        <v>4659</v>
      </c>
      <c r="D112" s="1623" t="s">
        <v>629</v>
      </c>
      <c r="E112" s="1623" t="s">
        <v>4903</v>
      </c>
      <c r="F112" s="1621" t="s">
        <v>5098</v>
      </c>
      <c r="G112" s="1621">
        <v>110</v>
      </c>
      <c r="H112" s="1621" t="s">
        <v>1862</v>
      </c>
      <c r="I112" s="1621" t="s">
        <v>958</v>
      </c>
      <c r="J112" s="1624" t="s">
        <v>4797</v>
      </c>
      <c r="K112" s="1624" t="s">
        <v>4906</v>
      </c>
      <c r="L112" s="1623" t="s">
        <v>4907</v>
      </c>
      <c r="M112" s="1625">
        <v>44287</v>
      </c>
    </row>
    <row r="113" spans="1:13" s="1353" customFormat="1" ht="14.5">
      <c r="A113" s="1621">
        <v>106</v>
      </c>
      <c r="B113" s="1622" t="s">
        <v>1015</v>
      </c>
      <c r="C113" s="1623" t="s">
        <v>4659</v>
      </c>
      <c r="D113" s="1623" t="s">
        <v>629</v>
      </c>
      <c r="E113" s="1623" t="s">
        <v>4903</v>
      </c>
      <c r="F113" s="1621" t="s">
        <v>5098</v>
      </c>
      <c r="G113" s="1621">
        <v>110</v>
      </c>
      <c r="H113" s="1621" t="s">
        <v>1862</v>
      </c>
      <c r="I113" s="1621" t="s">
        <v>970</v>
      </c>
      <c r="J113" s="1624" t="s">
        <v>4797</v>
      </c>
      <c r="K113" s="1624" t="s">
        <v>4906</v>
      </c>
      <c r="L113" s="1623" t="s">
        <v>4907</v>
      </c>
      <c r="M113" s="1625">
        <v>44287</v>
      </c>
    </row>
    <row r="114" spans="1:13" s="1353" customFormat="1" ht="14.5">
      <c r="A114" s="1621">
        <v>107</v>
      </c>
      <c r="B114" s="1622" t="s">
        <v>1015</v>
      </c>
      <c r="C114" s="1623" t="s">
        <v>4659</v>
      </c>
      <c r="D114" s="1623" t="s">
        <v>629</v>
      </c>
      <c r="E114" s="1623" t="s">
        <v>4903</v>
      </c>
      <c r="F114" s="1621" t="s">
        <v>5098</v>
      </c>
      <c r="G114" s="1621">
        <v>118</v>
      </c>
      <c r="H114" s="1621" t="s">
        <v>1910</v>
      </c>
      <c r="I114" s="1621" t="s">
        <v>1037</v>
      </c>
      <c r="J114" s="1624">
        <v>-0.70199387493371368</v>
      </c>
      <c r="K114" s="1624" t="s">
        <v>4906</v>
      </c>
      <c r="L114" s="1623" t="s">
        <v>4907</v>
      </c>
      <c r="M114" s="1625">
        <v>44287</v>
      </c>
    </row>
    <row r="115" spans="1:13" s="1353" customFormat="1" ht="14.5">
      <c r="A115" s="1621">
        <v>108</v>
      </c>
      <c r="B115" s="1622" t="s">
        <v>1015</v>
      </c>
      <c r="C115" s="1623" t="s">
        <v>4659</v>
      </c>
      <c r="D115" s="1623" t="s">
        <v>629</v>
      </c>
      <c r="E115" s="1623" t="s">
        <v>4903</v>
      </c>
      <c r="F115" s="1621" t="s">
        <v>5098</v>
      </c>
      <c r="G115" s="1621">
        <v>122</v>
      </c>
      <c r="H115" s="1621" t="s">
        <v>1914</v>
      </c>
      <c r="I115" s="1621" t="s">
        <v>1037</v>
      </c>
      <c r="J115" s="1624">
        <v>0.70199387493371368</v>
      </c>
      <c r="K115" s="1624" t="s">
        <v>4906</v>
      </c>
      <c r="L115" s="1623" t="s">
        <v>4907</v>
      </c>
      <c r="M115" s="1625">
        <v>44287</v>
      </c>
    </row>
    <row r="116" spans="1:13" s="1353" customFormat="1" ht="43.5">
      <c r="A116" s="1621">
        <v>109</v>
      </c>
      <c r="B116" s="1622" t="s">
        <v>1015</v>
      </c>
      <c r="C116" s="1623" t="s">
        <v>4659</v>
      </c>
      <c r="D116" s="1623" t="s">
        <v>629</v>
      </c>
      <c r="E116" s="1623" t="s">
        <v>4903</v>
      </c>
      <c r="F116" s="1621" t="s">
        <v>5098</v>
      </c>
      <c r="G116" s="1621">
        <v>115</v>
      </c>
      <c r="H116" s="1626" t="s">
        <v>1908</v>
      </c>
      <c r="I116" s="1621" t="s">
        <v>1037</v>
      </c>
      <c r="J116" s="1624" t="s">
        <v>4906</v>
      </c>
      <c r="K116" s="1624">
        <v>-0.253</v>
      </c>
      <c r="L116" s="1623" t="s">
        <v>5102</v>
      </c>
      <c r="M116" s="1625">
        <v>44287</v>
      </c>
    </row>
    <row r="117" spans="1:13" s="1353" customFormat="1" ht="14.5">
      <c r="A117" s="1621">
        <v>110</v>
      </c>
      <c r="B117" s="1622" t="s">
        <v>1015</v>
      </c>
      <c r="C117" s="1623" t="s">
        <v>4662</v>
      </c>
      <c r="D117" s="1623" t="s">
        <v>4913</v>
      </c>
      <c r="E117" s="1623" t="s">
        <v>4903</v>
      </c>
      <c r="F117" s="1621" t="s">
        <v>5098</v>
      </c>
      <c r="G117" s="1621">
        <v>95</v>
      </c>
      <c r="H117" s="1621" t="s">
        <v>1859</v>
      </c>
      <c r="I117" s="1621" t="s">
        <v>968</v>
      </c>
      <c r="J117" s="1624" t="s">
        <v>4906</v>
      </c>
      <c r="K117" s="1624">
        <v>6.14</v>
      </c>
      <c r="L117" s="1623" t="s">
        <v>4932</v>
      </c>
      <c r="M117" s="1625">
        <v>44287</v>
      </c>
    </row>
    <row r="118" spans="1:13" s="1353" customFormat="1" ht="14.5">
      <c r="A118" s="1621">
        <v>111</v>
      </c>
      <c r="B118" s="1622" t="s">
        <v>1015</v>
      </c>
      <c r="C118" s="1623" t="s">
        <v>4662</v>
      </c>
      <c r="D118" s="1623" t="s">
        <v>4913</v>
      </c>
      <c r="E118" s="1623" t="s">
        <v>4903</v>
      </c>
      <c r="F118" s="1621" t="s">
        <v>5098</v>
      </c>
      <c r="G118" s="1621">
        <v>95</v>
      </c>
      <c r="H118" s="1621" t="s">
        <v>1859</v>
      </c>
      <c r="I118" s="1621" t="s">
        <v>980</v>
      </c>
      <c r="J118" s="1624" t="s">
        <v>4906</v>
      </c>
      <c r="K118" s="1624">
        <v>5.3</v>
      </c>
      <c r="L118" s="1623" t="s">
        <v>4932</v>
      </c>
      <c r="M118" s="1625">
        <v>44287</v>
      </c>
    </row>
    <row r="119" spans="1:13" s="1353" customFormat="1" ht="14.5">
      <c r="A119" s="1621">
        <v>112</v>
      </c>
      <c r="B119" s="1622" t="s">
        <v>1015</v>
      </c>
      <c r="C119" s="1623" t="s">
        <v>4662</v>
      </c>
      <c r="D119" s="1623" t="s">
        <v>4913</v>
      </c>
      <c r="E119" s="1623" t="s">
        <v>4903</v>
      </c>
      <c r="F119" s="1621" t="s">
        <v>5098</v>
      </c>
      <c r="G119" s="1621">
        <v>95</v>
      </c>
      <c r="H119" s="1621" t="s">
        <v>1859</v>
      </c>
      <c r="I119" s="1621" t="s">
        <v>985</v>
      </c>
      <c r="J119" s="1624" t="s">
        <v>4906</v>
      </c>
      <c r="K119" s="1624">
        <v>4.4800000000000004</v>
      </c>
      <c r="L119" s="1623" t="s">
        <v>4932</v>
      </c>
      <c r="M119" s="1625">
        <v>44287</v>
      </c>
    </row>
    <row r="120" spans="1:13" s="1353" customFormat="1" ht="14.5">
      <c r="A120" s="1621">
        <v>113</v>
      </c>
      <c r="B120" s="1622" t="s">
        <v>1015</v>
      </c>
      <c r="C120" s="1623" t="s">
        <v>4662</v>
      </c>
      <c r="D120" s="1623" t="s">
        <v>4913</v>
      </c>
      <c r="E120" s="1623" t="s">
        <v>4903</v>
      </c>
      <c r="F120" s="1621" t="s">
        <v>5098</v>
      </c>
      <c r="G120" s="1621">
        <v>95</v>
      </c>
      <c r="H120" s="1621" t="s">
        <v>1859</v>
      </c>
      <c r="I120" s="1621" t="s">
        <v>958</v>
      </c>
      <c r="J120" s="1624" t="s">
        <v>4906</v>
      </c>
      <c r="K120" s="1624">
        <v>3.64</v>
      </c>
      <c r="L120" s="1623" t="s">
        <v>4932</v>
      </c>
      <c r="M120" s="1625">
        <v>44287</v>
      </c>
    </row>
    <row r="121" spans="1:13" s="1353" customFormat="1" ht="14.5">
      <c r="A121" s="1621">
        <v>114</v>
      </c>
      <c r="B121" s="1622" t="s">
        <v>1015</v>
      </c>
      <c r="C121" s="1623" t="s">
        <v>4662</v>
      </c>
      <c r="D121" s="1623" t="s">
        <v>4913</v>
      </c>
      <c r="E121" s="1623" t="s">
        <v>4903</v>
      </c>
      <c r="F121" s="1621" t="s">
        <v>5098</v>
      </c>
      <c r="G121" s="1621">
        <v>95</v>
      </c>
      <c r="H121" s="1621" t="s">
        <v>1859</v>
      </c>
      <c r="I121" s="1621" t="s">
        <v>970</v>
      </c>
      <c r="J121" s="1624" t="s">
        <v>4906</v>
      </c>
      <c r="K121" s="1624">
        <v>2.81</v>
      </c>
      <c r="L121" s="1623" t="s">
        <v>4932</v>
      </c>
      <c r="M121" s="1625">
        <v>44287</v>
      </c>
    </row>
    <row r="122" spans="1:13" s="1353" customFormat="1" ht="14.5">
      <c r="A122" s="1621">
        <v>115</v>
      </c>
      <c r="B122" s="1622" t="s">
        <v>1015</v>
      </c>
      <c r="C122" s="1623" t="s">
        <v>4665</v>
      </c>
      <c r="D122" s="1623" t="s">
        <v>4911</v>
      </c>
      <c r="E122" s="1623" t="s">
        <v>4903</v>
      </c>
      <c r="F122" s="1621" t="s">
        <v>5098</v>
      </c>
      <c r="G122" s="1621">
        <v>95</v>
      </c>
      <c r="H122" s="1621" t="s">
        <v>1859</v>
      </c>
      <c r="I122" s="1621" t="s">
        <v>968</v>
      </c>
      <c r="J122" s="1624" t="s">
        <v>4906</v>
      </c>
      <c r="K122" s="1624">
        <v>196.1</v>
      </c>
      <c r="L122" s="1623" t="s">
        <v>4912</v>
      </c>
      <c r="M122" s="1625">
        <v>44287</v>
      </c>
    </row>
    <row r="123" spans="1:13" s="1353" customFormat="1" ht="14.5">
      <c r="A123" s="1621">
        <v>116</v>
      </c>
      <c r="B123" s="1622" t="s">
        <v>1015</v>
      </c>
      <c r="C123" s="1623" t="s">
        <v>4665</v>
      </c>
      <c r="D123" s="1623" t="s">
        <v>4911</v>
      </c>
      <c r="E123" s="1623" t="s">
        <v>4903</v>
      </c>
      <c r="F123" s="1621" t="s">
        <v>5098</v>
      </c>
      <c r="G123" s="1621">
        <v>95</v>
      </c>
      <c r="H123" s="1621" t="s">
        <v>1859</v>
      </c>
      <c r="I123" s="1621" t="s">
        <v>980</v>
      </c>
      <c r="J123" s="1624" t="s">
        <v>4906</v>
      </c>
      <c r="K123" s="1624">
        <v>193.6</v>
      </c>
      <c r="L123" s="1623" t="s">
        <v>4912</v>
      </c>
      <c r="M123" s="1625">
        <v>44287</v>
      </c>
    </row>
    <row r="124" spans="1:13" s="1353" customFormat="1" ht="14.5">
      <c r="A124" s="1621">
        <v>117</v>
      </c>
      <c r="B124" s="1622" t="s">
        <v>1015</v>
      </c>
      <c r="C124" s="1623" t="s">
        <v>4665</v>
      </c>
      <c r="D124" s="1623" t="s">
        <v>4911</v>
      </c>
      <c r="E124" s="1623" t="s">
        <v>4903</v>
      </c>
      <c r="F124" s="1621" t="s">
        <v>5098</v>
      </c>
      <c r="G124" s="1621">
        <v>95</v>
      </c>
      <c r="H124" s="1621" t="s">
        <v>1859</v>
      </c>
      <c r="I124" s="1621" t="s">
        <v>985</v>
      </c>
      <c r="J124" s="1624" t="s">
        <v>4906</v>
      </c>
      <c r="K124" s="1624">
        <v>191</v>
      </c>
      <c r="L124" s="1623" t="s">
        <v>4912</v>
      </c>
      <c r="M124" s="1625">
        <v>44287</v>
      </c>
    </row>
    <row r="125" spans="1:13" s="1353" customFormat="1" ht="14.5">
      <c r="A125" s="1621">
        <v>118</v>
      </c>
      <c r="B125" s="1622" t="s">
        <v>1015</v>
      </c>
      <c r="C125" s="1623" t="s">
        <v>4665</v>
      </c>
      <c r="D125" s="1623" t="s">
        <v>4911</v>
      </c>
      <c r="E125" s="1623" t="s">
        <v>4903</v>
      </c>
      <c r="F125" s="1621" t="s">
        <v>5098</v>
      </c>
      <c r="G125" s="1621">
        <v>95</v>
      </c>
      <c r="H125" s="1621" t="s">
        <v>1859</v>
      </c>
      <c r="I125" s="1621" t="s">
        <v>958</v>
      </c>
      <c r="J125" s="1624" t="s">
        <v>4906</v>
      </c>
      <c r="K125" s="1624">
        <v>188.4</v>
      </c>
      <c r="L125" s="1623" t="s">
        <v>4912</v>
      </c>
      <c r="M125" s="1625">
        <v>44287</v>
      </c>
    </row>
    <row r="126" spans="1:13" s="1353" customFormat="1" ht="14.5">
      <c r="A126" s="1621">
        <v>119</v>
      </c>
      <c r="B126" s="1622" t="s">
        <v>1015</v>
      </c>
      <c r="C126" s="1623" t="s">
        <v>4665</v>
      </c>
      <c r="D126" s="1623" t="s">
        <v>4911</v>
      </c>
      <c r="E126" s="1623" t="s">
        <v>4903</v>
      </c>
      <c r="F126" s="1621" t="s">
        <v>5098</v>
      </c>
      <c r="G126" s="1621">
        <v>95</v>
      </c>
      <c r="H126" s="1621" t="s">
        <v>1859</v>
      </c>
      <c r="I126" s="1621" t="s">
        <v>970</v>
      </c>
      <c r="J126" s="1624" t="s">
        <v>4906</v>
      </c>
      <c r="K126" s="1624">
        <v>185.8</v>
      </c>
      <c r="L126" s="1623" t="s">
        <v>4912</v>
      </c>
      <c r="M126" s="1625">
        <v>44287</v>
      </c>
    </row>
    <row r="127" spans="1:13" s="1353" customFormat="1" ht="14.5">
      <c r="A127" s="1621">
        <v>120</v>
      </c>
      <c r="B127" s="1622" t="s">
        <v>1015</v>
      </c>
      <c r="C127" s="1623" t="s">
        <v>4688</v>
      </c>
      <c r="D127" s="1623" t="s">
        <v>687</v>
      </c>
      <c r="E127" s="1623" t="s">
        <v>4903</v>
      </c>
      <c r="F127" s="1621" t="s">
        <v>5098</v>
      </c>
      <c r="G127" s="1621">
        <v>90</v>
      </c>
      <c r="H127" s="1621" t="s">
        <v>1858</v>
      </c>
      <c r="I127" s="1621" t="s">
        <v>968</v>
      </c>
      <c r="J127" s="1632">
        <v>2.75</v>
      </c>
      <c r="K127" s="1632">
        <v>2.75</v>
      </c>
      <c r="L127" s="1623" t="s">
        <v>5103</v>
      </c>
      <c r="M127" s="1625">
        <v>44287</v>
      </c>
    </row>
    <row r="128" spans="1:13" s="1353" customFormat="1" ht="14.5">
      <c r="A128" s="1621">
        <v>121</v>
      </c>
      <c r="B128" s="1622" t="s">
        <v>1015</v>
      </c>
      <c r="C128" s="1623" t="s">
        <v>4688</v>
      </c>
      <c r="D128" s="1623" t="s">
        <v>687</v>
      </c>
      <c r="E128" s="1623" t="s">
        <v>4903</v>
      </c>
      <c r="F128" s="1621" t="s">
        <v>5098</v>
      </c>
      <c r="G128" s="1621">
        <v>90</v>
      </c>
      <c r="H128" s="1621" t="s">
        <v>1858</v>
      </c>
      <c r="I128" s="1621" t="s">
        <v>980</v>
      </c>
      <c r="J128" s="1632">
        <v>3</v>
      </c>
      <c r="K128" s="1632">
        <v>3.2</v>
      </c>
      <c r="L128" s="1623" t="s">
        <v>5103</v>
      </c>
      <c r="M128" s="1625">
        <v>44287</v>
      </c>
    </row>
    <row r="129" spans="1:13" s="1353" customFormat="1" ht="14.5">
      <c r="A129" s="1621">
        <v>122</v>
      </c>
      <c r="B129" s="1622" t="s">
        <v>1015</v>
      </c>
      <c r="C129" s="1623" t="s">
        <v>4688</v>
      </c>
      <c r="D129" s="1623" t="s">
        <v>687</v>
      </c>
      <c r="E129" s="1623" t="s">
        <v>4903</v>
      </c>
      <c r="F129" s="1621" t="s">
        <v>5098</v>
      </c>
      <c r="G129" s="1621">
        <v>90</v>
      </c>
      <c r="H129" s="1621" t="s">
        <v>1858</v>
      </c>
      <c r="I129" s="1621" t="s">
        <v>985</v>
      </c>
      <c r="J129" s="1632">
        <v>3.4</v>
      </c>
      <c r="K129" s="1632">
        <v>3.8</v>
      </c>
      <c r="L129" s="1623" t="s">
        <v>5103</v>
      </c>
      <c r="M129" s="1625">
        <v>44287</v>
      </c>
    </row>
    <row r="130" spans="1:13" s="1353" customFormat="1" ht="14.5">
      <c r="A130" s="1621">
        <v>123</v>
      </c>
      <c r="B130" s="1622" t="s">
        <v>1015</v>
      </c>
      <c r="C130" s="1623" t="s">
        <v>4688</v>
      </c>
      <c r="D130" s="1623" t="s">
        <v>687</v>
      </c>
      <c r="E130" s="1623" t="s">
        <v>4903</v>
      </c>
      <c r="F130" s="1621" t="s">
        <v>5098</v>
      </c>
      <c r="G130" s="1621">
        <v>90</v>
      </c>
      <c r="H130" s="1621" t="s">
        <v>1858</v>
      </c>
      <c r="I130" s="1621" t="s">
        <v>958</v>
      </c>
      <c r="J130" s="1632">
        <v>3.6</v>
      </c>
      <c r="K130" s="1632">
        <v>4.3</v>
      </c>
      <c r="L130" s="1623" t="s">
        <v>5103</v>
      </c>
      <c r="M130" s="1625">
        <v>44287</v>
      </c>
    </row>
    <row r="131" spans="1:13" s="1353" customFormat="1" ht="14.5">
      <c r="A131" s="1621">
        <v>124</v>
      </c>
      <c r="B131" s="1622" t="s">
        <v>1015</v>
      </c>
      <c r="C131" s="1623" t="s">
        <v>4688</v>
      </c>
      <c r="D131" s="1623" t="s">
        <v>687</v>
      </c>
      <c r="E131" s="1623" t="s">
        <v>4903</v>
      </c>
      <c r="F131" s="1621" t="s">
        <v>5098</v>
      </c>
      <c r="G131" s="1621">
        <v>90</v>
      </c>
      <c r="H131" s="1621" t="s">
        <v>1858</v>
      </c>
      <c r="I131" s="1621" t="s">
        <v>970</v>
      </c>
      <c r="J131" s="1632">
        <v>4</v>
      </c>
      <c r="K131" s="1632">
        <v>4.9000000000000004</v>
      </c>
      <c r="L131" s="1623" t="s">
        <v>5103</v>
      </c>
      <c r="M131" s="1625">
        <v>44287</v>
      </c>
    </row>
    <row r="132" spans="1:13" s="1353" customFormat="1" ht="58">
      <c r="A132" s="1627">
        <v>125</v>
      </c>
      <c r="B132" s="1628" t="s">
        <v>1015</v>
      </c>
      <c r="C132" s="1629" t="s">
        <v>4659</v>
      </c>
      <c r="D132" s="1629" t="s">
        <v>629</v>
      </c>
      <c r="E132" s="1629" t="s">
        <v>788</v>
      </c>
      <c r="F132" s="1627" t="s">
        <v>5098</v>
      </c>
      <c r="G132" s="1627">
        <v>41</v>
      </c>
      <c r="H132" s="1627" t="s">
        <v>1090</v>
      </c>
      <c r="I132" s="1627" t="s">
        <v>1037</v>
      </c>
      <c r="J132" s="1630" t="s">
        <v>978</v>
      </c>
      <c r="K132" s="1630" t="s">
        <v>966</v>
      </c>
      <c r="L132" s="1629" t="s">
        <v>5099</v>
      </c>
      <c r="M132" s="1631">
        <v>44225</v>
      </c>
    </row>
    <row r="133" spans="1:13" s="1353" customFormat="1" ht="58">
      <c r="A133" s="1627">
        <v>126</v>
      </c>
      <c r="B133" s="1628" t="s">
        <v>1015</v>
      </c>
      <c r="C133" s="1629" t="s">
        <v>1156</v>
      </c>
      <c r="D133" s="1629" t="s">
        <v>1124</v>
      </c>
      <c r="E133" s="1629" t="s">
        <v>788</v>
      </c>
      <c r="F133" s="1627" t="s">
        <v>5098</v>
      </c>
      <c r="G133" s="1627">
        <v>41</v>
      </c>
      <c r="H133" s="1627" t="s">
        <v>1090</v>
      </c>
      <c r="I133" s="1627" t="s">
        <v>1037</v>
      </c>
      <c r="J133" s="1630" t="s">
        <v>978</v>
      </c>
      <c r="K133" s="1630" t="s">
        <v>966</v>
      </c>
      <c r="L133" s="1629" t="s">
        <v>5100</v>
      </c>
      <c r="M133" s="1631">
        <v>44225</v>
      </c>
    </row>
    <row r="134" spans="1:13" s="1353" customFormat="1" ht="58">
      <c r="A134" s="1627">
        <v>127</v>
      </c>
      <c r="B134" s="1628" t="s">
        <v>1018</v>
      </c>
      <c r="C134" s="1629" t="s">
        <v>1925</v>
      </c>
      <c r="D134" s="1629" t="s">
        <v>629</v>
      </c>
      <c r="E134" s="1629" t="s">
        <v>788</v>
      </c>
      <c r="F134" s="1627" t="s">
        <v>5098</v>
      </c>
      <c r="G134" s="1627">
        <v>41</v>
      </c>
      <c r="H134" s="1627" t="s">
        <v>1090</v>
      </c>
      <c r="I134" s="1627" t="s">
        <v>1037</v>
      </c>
      <c r="J134" s="1630" t="s">
        <v>978</v>
      </c>
      <c r="K134" s="1630" t="s">
        <v>966</v>
      </c>
      <c r="L134" s="1629" t="s">
        <v>5099</v>
      </c>
      <c r="M134" s="1631">
        <v>44225</v>
      </c>
    </row>
    <row r="135" spans="1:13" s="1353" customFormat="1" ht="58">
      <c r="A135" s="1627">
        <v>128</v>
      </c>
      <c r="B135" s="1628" t="s">
        <v>1018</v>
      </c>
      <c r="C135" s="1629" t="s">
        <v>1159</v>
      </c>
      <c r="D135" s="1629" t="s">
        <v>1124</v>
      </c>
      <c r="E135" s="1629" t="s">
        <v>788</v>
      </c>
      <c r="F135" s="1627" t="s">
        <v>5098</v>
      </c>
      <c r="G135" s="1627">
        <v>41</v>
      </c>
      <c r="H135" s="1627" t="s">
        <v>1090</v>
      </c>
      <c r="I135" s="1627" t="s">
        <v>1037</v>
      </c>
      <c r="J135" s="1630" t="s">
        <v>978</v>
      </c>
      <c r="K135" s="1630" t="s">
        <v>966</v>
      </c>
      <c r="L135" s="1629" t="s">
        <v>5100</v>
      </c>
      <c r="M135" s="1631">
        <v>44225</v>
      </c>
    </row>
    <row r="136" spans="1:13" s="1353" customFormat="1" ht="58">
      <c r="A136" s="1627">
        <v>129</v>
      </c>
      <c r="B136" s="1628" t="s">
        <v>969</v>
      </c>
      <c r="C136" s="1629" t="s">
        <v>2378</v>
      </c>
      <c r="D136" s="1629" t="s">
        <v>629</v>
      </c>
      <c r="E136" s="1629" t="s">
        <v>788</v>
      </c>
      <c r="F136" s="1627" t="s">
        <v>5098</v>
      </c>
      <c r="G136" s="1627">
        <v>41</v>
      </c>
      <c r="H136" s="1627" t="s">
        <v>1090</v>
      </c>
      <c r="I136" s="1627" t="s">
        <v>1037</v>
      </c>
      <c r="J136" s="1630" t="s">
        <v>978</v>
      </c>
      <c r="K136" s="1630" t="s">
        <v>966</v>
      </c>
      <c r="L136" s="1629" t="s">
        <v>5099</v>
      </c>
      <c r="M136" s="1631">
        <v>44225</v>
      </c>
    </row>
    <row r="137" spans="1:13" s="1353" customFormat="1" ht="58">
      <c r="A137" s="1627">
        <v>130</v>
      </c>
      <c r="B137" s="1628" t="s">
        <v>969</v>
      </c>
      <c r="C137" s="1629" t="s">
        <v>1131</v>
      </c>
      <c r="D137" s="1629" t="s">
        <v>1124</v>
      </c>
      <c r="E137" s="1629" t="s">
        <v>788</v>
      </c>
      <c r="F137" s="1627" t="s">
        <v>5098</v>
      </c>
      <c r="G137" s="1627">
        <v>41</v>
      </c>
      <c r="H137" s="1627" t="s">
        <v>1090</v>
      </c>
      <c r="I137" s="1627" t="s">
        <v>1037</v>
      </c>
      <c r="J137" s="1630" t="s">
        <v>978</v>
      </c>
      <c r="K137" s="1630" t="s">
        <v>966</v>
      </c>
      <c r="L137" s="1629" t="s">
        <v>5100</v>
      </c>
      <c r="M137" s="1631">
        <v>44225</v>
      </c>
    </row>
    <row r="138" spans="1:13" s="1353" customFormat="1" ht="58">
      <c r="A138" s="1627">
        <v>131</v>
      </c>
      <c r="B138" s="1628" t="s">
        <v>1026</v>
      </c>
      <c r="C138" s="1629" t="s">
        <v>2723</v>
      </c>
      <c r="D138" s="1629" t="s">
        <v>629</v>
      </c>
      <c r="E138" s="1629" t="s">
        <v>788</v>
      </c>
      <c r="F138" s="1627" t="s">
        <v>5098</v>
      </c>
      <c r="G138" s="1627">
        <v>41</v>
      </c>
      <c r="H138" s="1627" t="s">
        <v>1090</v>
      </c>
      <c r="I138" s="1627" t="s">
        <v>1037</v>
      </c>
      <c r="J138" s="1630" t="s">
        <v>978</v>
      </c>
      <c r="K138" s="1630" t="s">
        <v>966</v>
      </c>
      <c r="L138" s="1629" t="s">
        <v>5099</v>
      </c>
      <c r="M138" s="1631">
        <v>44225</v>
      </c>
    </row>
    <row r="139" spans="1:13" s="1353" customFormat="1" ht="58">
      <c r="A139" s="1627">
        <v>132</v>
      </c>
      <c r="B139" s="1628" t="s">
        <v>1026</v>
      </c>
      <c r="C139" s="1629" t="s">
        <v>1165</v>
      </c>
      <c r="D139" s="1629" t="s">
        <v>1124</v>
      </c>
      <c r="E139" s="1629" t="s">
        <v>788</v>
      </c>
      <c r="F139" s="1627" t="s">
        <v>5098</v>
      </c>
      <c r="G139" s="1627">
        <v>41</v>
      </c>
      <c r="H139" s="1627" t="s">
        <v>1090</v>
      </c>
      <c r="I139" s="1627" t="s">
        <v>1037</v>
      </c>
      <c r="J139" s="1630" t="s">
        <v>978</v>
      </c>
      <c r="K139" s="1630" t="s">
        <v>966</v>
      </c>
      <c r="L139" s="1629" t="s">
        <v>5100</v>
      </c>
      <c r="M139" s="1631">
        <v>44225</v>
      </c>
    </row>
    <row r="140" spans="1:13" s="1353" customFormat="1" ht="58">
      <c r="A140" s="1627">
        <v>133</v>
      </c>
      <c r="B140" s="1628" t="s">
        <v>1029</v>
      </c>
      <c r="C140" s="1629" t="s">
        <v>2880</v>
      </c>
      <c r="D140" s="1629" t="s">
        <v>629</v>
      </c>
      <c r="E140" s="1629" t="s">
        <v>788</v>
      </c>
      <c r="F140" s="1627" t="s">
        <v>5098</v>
      </c>
      <c r="G140" s="1627">
        <v>41</v>
      </c>
      <c r="H140" s="1627" t="s">
        <v>1090</v>
      </c>
      <c r="I140" s="1627" t="s">
        <v>1037</v>
      </c>
      <c r="J140" s="1630" t="s">
        <v>978</v>
      </c>
      <c r="K140" s="1630" t="s">
        <v>966</v>
      </c>
      <c r="L140" s="1629" t="s">
        <v>5099</v>
      </c>
      <c r="M140" s="1631">
        <v>44225</v>
      </c>
    </row>
    <row r="141" spans="1:13" s="1353" customFormat="1" ht="58">
      <c r="A141" s="1627">
        <v>134</v>
      </c>
      <c r="B141" s="1628" t="s">
        <v>1029</v>
      </c>
      <c r="C141" s="1629" t="s">
        <v>1171</v>
      </c>
      <c r="D141" s="1629" t="s">
        <v>1124</v>
      </c>
      <c r="E141" s="1629" t="s">
        <v>788</v>
      </c>
      <c r="F141" s="1627" t="s">
        <v>5098</v>
      </c>
      <c r="G141" s="1627">
        <v>41</v>
      </c>
      <c r="H141" s="1627" t="s">
        <v>1090</v>
      </c>
      <c r="I141" s="1627" t="s">
        <v>1037</v>
      </c>
      <c r="J141" s="1630" t="s">
        <v>978</v>
      </c>
      <c r="K141" s="1630" t="s">
        <v>966</v>
      </c>
      <c r="L141" s="1629" t="s">
        <v>5100</v>
      </c>
      <c r="M141" s="1631">
        <v>44225</v>
      </c>
    </row>
    <row r="142" spans="1:13" s="1353" customFormat="1" ht="58">
      <c r="A142" s="1627">
        <v>135</v>
      </c>
      <c r="B142" s="1628" t="s">
        <v>1033</v>
      </c>
      <c r="C142" s="1629" t="s">
        <v>2950</v>
      </c>
      <c r="D142" s="1629" t="s">
        <v>629</v>
      </c>
      <c r="E142" s="1629" t="s">
        <v>788</v>
      </c>
      <c r="F142" s="1627" t="s">
        <v>5098</v>
      </c>
      <c r="G142" s="1627">
        <v>41</v>
      </c>
      <c r="H142" s="1627" t="s">
        <v>1090</v>
      </c>
      <c r="I142" s="1627" t="s">
        <v>1037</v>
      </c>
      <c r="J142" s="1630" t="s">
        <v>978</v>
      </c>
      <c r="K142" s="1630" t="s">
        <v>966</v>
      </c>
      <c r="L142" s="1629" t="s">
        <v>5099</v>
      </c>
      <c r="M142" s="1631">
        <v>44225</v>
      </c>
    </row>
    <row r="143" spans="1:13" s="1353" customFormat="1" ht="58">
      <c r="A143" s="1627">
        <v>136</v>
      </c>
      <c r="B143" s="1628" t="s">
        <v>1033</v>
      </c>
      <c r="C143" s="1629" t="s">
        <v>1166</v>
      </c>
      <c r="D143" s="1629" t="s">
        <v>1124</v>
      </c>
      <c r="E143" s="1629" t="s">
        <v>788</v>
      </c>
      <c r="F143" s="1627" t="s">
        <v>5098</v>
      </c>
      <c r="G143" s="1627">
        <v>41</v>
      </c>
      <c r="H143" s="1627" t="s">
        <v>1090</v>
      </c>
      <c r="I143" s="1627" t="s">
        <v>1037</v>
      </c>
      <c r="J143" s="1630" t="s">
        <v>978</v>
      </c>
      <c r="K143" s="1630" t="s">
        <v>966</v>
      </c>
      <c r="L143" s="1629" t="s">
        <v>5100</v>
      </c>
      <c r="M143" s="1631">
        <v>44225</v>
      </c>
    </row>
    <row r="144" spans="1:13" s="1353" customFormat="1" ht="58">
      <c r="A144" s="1627">
        <v>137</v>
      </c>
      <c r="B144" s="1628" t="s">
        <v>996</v>
      </c>
      <c r="C144" s="1629" t="s">
        <v>3089</v>
      </c>
      <c r="D144" s="1629" t="s">
        <v>629</v>
      </c>
      <c r="E144" s="1629" t="s">
        <v>788</v>
      </c>
      <c r="F144" s="1627" t="s">
        <v>5098</v>
      </c>
      <c r="G144" s="1627">
        <v>41</v>
      </c>
      <c r="H144" s="1627" t="s">
        <v>1090</v>
      </c>
      <c r="I144" s="1627" t="s">
        <v>1037</v>
      </c>
      <c r="J144" s="1630" t="s">
        <v>978</v>
      </c>
      <c r="K144" s="1630" t="s">
        <v>966</v>
      </c>
      <c r="L144" s="1629" t="s">
        <v>5099</v>
      </c>
      <c r="M144" s="1631">
        <v>44225</v>
      </c>
    </row>
    <row r="145" spans="1:13" s="1353" customFormat="1" ht="58">
      <c r="A145" s="1627">
        <v>138</v>
      </c>
      <c r="B145" s="1628" t="s">
        <v>996</v>
      </c>
      <c r="C145" s="1629" t="s">
        <v>1143</v>
      </c>
      <c r="D145" s="1629" t="s">
        <v>1124</v>
      </c>
      <c r="E145" s="1629" t="s">
        <v>788</v>
      </c>
      <c r="F145" s="1627" t="s">
        <v>5098</v>
      </c>
      <c r="G145" s="1627">
        <v>41</v>
      </c>
      <c r="H145" s="1627" t="s">
        <v>1090</v>
      </c>
      <c r="I145" s="1627" t="s">
        <v>1037</v>
      </c>
      <c r="J145" s="1630" t="s">
        <v>978</v>
      </c>
      <c r="K145" s="1630" t="s">
        <v>966</v>
      </c>
      <c r="L145" s="1629" t="s">
        <v>5100</v>
      </c>
      <c r="M145" s="1631">
        <v>44225</v>
      </c>
    </row>
    <row r="146" spans="1:13" s="1353" customFormat="1" ht="29">
      <c r="A146" s="1627">
        <v>139</v>
      </c>
      <c r="B146" s="1628" t="s">
        <v>1036</v>
      </c>
      <c r="C146" s="1629" t="s">
        <v>3358</v>
      </c>
      <c r="D146" s="1629" t="s">
        <v>3360</v>
      </c>
      <c r="E146" s="1629" t="s">
        <v>788</v>
      </c>
      <c r="F146" s="1627" t="s">
        <v>5098</v>
      </c>
      <c r="G146" s="1627">
        <v>38</v>
      </c>
      <c r="H146" s="1627" t="s">
        <v>1873</v>
      </c>
      <c r="I146" s="1627" t="s">
        <v>1037</v>
      </c>
      <c r="J146" s="1630" t="s">
        <v>1039</v>
      </c>
      <c r="K146" s="1630" t="s">
        <v>2204</v>
      </c>
      <c r="L146" s="1629" t="s">
        <v>4949</v>
      </c>
      <c r="M146" s="1631">
        <v>44225</v>
      </c>
    </row>
    <row r="147" spans="1:13" s="1353" customFormat="1" ht="58">
      <c r="A147" s="1627">
        <v>140</v>
      </c>
      <c r="B147" s="1628" t="s">
        <v>1036</v>
      </c>
      <c r="C147" s="1629" t="s">
        <v>3347</v>
      </c>
      <c r="D147" s="1629" t="s">
        <v>629</v>
      </c>
      <c r="E147" s="1629" t="s">
        <v>788</v>
      </c>
      <c r="F147" s="1627" t="s">
        <v>5098</v>
      </c>
      <c r="G147" s="1627">
        <v>41</v>
      </c>
      <c r="H147" s="1627" t="s">
        <v>1090</v>
      </c>
      <c r="I147" s="1627" t="s">
        <v>1037</v>
      </c>
      <c r="J147" s="1630" t="s">
        <v>978</v>
      </c>
      <c r="K147" s="1630" t="s">
        <v>966</v>
      </c>
      <c r="L147" s="1629" t="s">
        <v>5099</v>
      </c>
      <c r="M147" s="1631">
        <v>44225</v>
      </c>
    </row>
    <row r="148" spans="1:13" s="1353" customFormat="1" ht="58">
      <c r="A148" s="1627">
        <v>141</v>
      </c>
      <c r="B148" s="1628" t="s">
        <v>1036</v>
      </c>
      <c r="C148" s="1629" t="s">
        <v>3352</v>
      </c>
      <c r="D148" s="1629" t="s">
        <v>629</v>
      </c>
      <c r="E148" s="1629" t="s">
        <v>788</v>
      </c>
      <c r="F148" s="1627" t="s">
        <v>5098</v>
      </c>
      <c r="G148" s="1627">
        <v>41</v>
      </c>
      <c r="H148" s="1627" t="s">
        <v>1090</v>
      </c>
      <c r="I148" s="1627" t="s">
        <v>1037</v>
      </c>
      <c r="J148" s="1630" t="s">
        <v>978</v>
      </c>
      <c r="K148" s="1630" t="s">
        <v>966</v>
      </c>
      <c r="L148" s="1629" t="s">
        <v>5099</v>
      </c>
      <c r="M148" s="1631">
        <v>44225</v>
      </c>
    </row>
    <row r="149" spans="1:13" s="1353" customFormat="1" ht="58">
      <c r="A149" s="1627">
        <v>142</v>
      </c>
      <c r="B149" s="1628" t="s">
        <v>1036</v>
      </c>
      <c r="C149" s="1629" t="s">
        <v>1168</v>
      </c>
      <c r="D149" s="1629" t="s">
        <v>1124</v>
      </c>
      <c r="E149" s="1629" t="s">
        <v>788</v>
      </c>
      <c r="F149" s="1627" t="s">
        <v>5098</v>
      </c>
      <c r="G149" s="1627">
        <v>41</v>
      </c>
      <c r="H149" s="1627" t="s">
        <v>1090</v>
      </c>
      <c r="I149" s="1627" t="s">
        <v>1037</v>
      </c>
      <c r="J149" s="1630" t="s">
        <v>978</v>
      </c>
      <c r="K149" s="1630" t="s">
        <v>966</v>
      </c>
      <c r="L149" s="1629" t="s">
        <v>5100</v>
      </c>
      <c r="M149" s="1631">
        <v>44225</v>
      </c>
    </row>
    <row r="150" spans="1:13" s="1353" customFormat="1" ht="58">
      <c r="A150" s="1627">
        <v>143</v>
      </c>
      <c r="B150" s="1628" t="s">
        <v>1036</v>
      </c>
      <c r="C150" s="1629" t="s">
        <v>1170</v>
      </c>
      <c r="D150" s="1629" t="s">
        <v>1124</v>
      </c>
      <c r="E150" s="1629" t="s">
        <v>788</v>
      </c>
      <c r="F150" s="1627" t="s">
        <v>5098</v>
      </c>
      <c r="G150" s="1627">
        <v>41</v>
      </c>
      <c r="H150" s="1627" t="s">
        <v>1090</v>
      </c>
      <c r="I150" s="1627" t="s">
        <v>1037</v>
      </c>
      <c r="J150" s="1630" t="s">
        <v>978</v>
      </c>
      <c r="K150" s="1630" t="s">
        <v>966</v>
      </c>
      <c r="L150" s="1629" t="s">
        <v>5100</v>
      </c>
      <c r="M150" s="1631">
        <v>44225</v>
      </c>
    </row>
    <row r="151" spans="1:13" s="1353" customFormat="1" ht="58">
      <c r="A151" s="1627">
        <v>144</v>
      </c>
      <c r="B151" s="1628" t="s">
        <v>993</v>
      </c>
      <c r="C151" s="1629" t="s">
        <v>3524</v>
      </c>
      <c r="D151" s="1629" t="s">
        <v>629</v>
      </c>
      <c r="E151" s="1629" t="s">
        <v>788</v>
      </c>
      <c r="F151" s="1627" t="s">
        <v>5098</v>
      </c>
      <c r="G151" s="1627">
        <v>41</v>
      </c>
      <c r="H151" s="1627" t="s">
        <v>1090</v>
      </c>
      <c r="I151" s="1627" t="s">
        <v>1037</v>
      </c>
      <c r="J151" s="1630" t="s">
        <v>978</v>
      </c>
      <c r="K151" s="1630" t="s">
        <v>966</v>
      </c>
      <c r="L151" s="1629" t="s">
        <v>5099</v>
      </c>
      <c r="M151" s="1631">
        <v>44225</v>
      </c>
    </row>
    <row r="152" spans="1:13" s="1353" customFormat="1" ht="58">
      <c r="A152" s="1627">
        <v>145</v>
      </c>
      <c r="B152" s="1628" t="s">
        <v>993</v>
      </c>
      <c r="C152" s="1629" t="s">
        <v>1137</v>
      </c>
      <c r="D152" s="1629" t="s">
        <v>1124</v>
      </c>
      <c r="E152" s="1629" t="s">
        <v>788</v>
      </c>
      <c r="F152" s="1627" t="s">
        <v>5098</v>
      </c>
      <c r="G152" s="1627">
        <v>41</v>
      </c>
      <c r="H152" s="1627" t="s">
        <v>1090</v>
      </c>
      <c r="I152" s="1627" t="s">
        <v>1037</v>
      </c>
      <c r="J152" s="1630" t="s">
        <v>978</v>
      </c>
      <c r="K152" s="1630" t="s">
        <v>966</v>
      </c>
      <c r="L152" s="1629" t="s">
        <v>5100</v>
      </c>
      <c r="M152" s="1631">
        <v>44225</v>
      </c>
    </row>
    <row r="153" spans="1:13" s="1353" customFormat="1" ht="58">
      <c r="A153" s="1627">
        <v>146</v>
      </c>
      <c r="B153" s="1628" t="s">
        <v>999</v>
      </c>
      <c r="C153" s="1629" t="s">
        <v>1140</v>
      </c>
      <c r="D153" s="1629" t="s">
        <v>1124</v>
      </c>
      <c r="E153" s="1629" t="s">
        <v>788</v>
      </c>
      <c r="F153" s="1627" t="s">
        <v>5098</v>
      </c>
      <c r="G153" s="1627">
        <v>41</v>
      </c>
      <c r="H153" s="1627" t="s">
        <v>1090</v>
      </c>
      <c r="I153" s="1627" t="s">
        <v>1037</v>
      </c>
      <c r="J153" s="1630" t="s">
        <v>978</v>
      </c>
      <c r="K153" s="1630" t="s">
        <v>966</v>
      </c>
      <c r="L153" s="1629" t="s">
        <v>5100</v>
      </c>
      <c r="M153" s="1631">
        <v>44225</v>
      </c>
    </row>
    <row r="154" spans="1:13" s="1353" customFormat="1" ht="58">
      <c r="A154" s="1627">
        <v>147</v>
      </c>
      <c r="B154" s="1628" t="s">
        <v>1003</v>
      </c>
      <c r="C154" s="1629" t="s">
        <v>3791</v>
      </c>
      <c r="D154" s="1629" t="s">
        <v>629</v>
      </c>
      <c r="E154" s="1629" t="s">
        <v>788</v>
      </c>
      <c r="F154" s="1627" t="s">
        <v>5098</v>
      </c>
      <c r="G154" s="1627">
        <v>41</v>
      </c>
      <c r="H154" s="1627" t="s">
        <v>1090</v>
      </c>
      <c r="I154" s="1627" t="s">
        <v>1037</v>
      </c>
      <c r="J154" s="1630" t="s">
        <v>978</v>
      </c>
      <c r="K154" s="1630" t="s">
        <v>966</v>
      </c>
      <c r="L154" s="1629" t="s">
        <v>5099</v>
      </c>
      <c r="M154" s="1631">
        <v>44225</v>
      </c>
    </row>
    <row r="155" spans="1:13" s="1353" customFormat="1" ht="58">
      <c r="A155" s="1627">
        <v>148</v>
      </c>
      <c r="B155" s="1628" t="s">
        <v>1003</v>
      </c>
      <c r="C155" s="1629" t="s">
        <v>1147</v>
      </c>
      <c r="D155" s="1629" t="s">
        <v>1124</v>
      </c>
      <c r="E155" s="1629" t="s">
        <v>788</v>
      </c>
      <c r="F155" s="1627" t="s">
        <v>5098</v>
      </c>
      <c r="G155" s="1627">
        <v>41</v>
      </c>
      <c r="H155" s="1627" t="s">
        <v>1090</v>
      </c>
      <c r="I155" s="1627" t="s">
        <v>1037</v>
      </c>
      <c r="J155" s="1630" t="s">
        <v>978</v>
      </c>
      <c r="K155" s="1630" t="s">
        <v>966</v>
      </c>
      <c r="L155" s="1629" t="s">
        <v>5100</v>
      </c>
      <c r="M155" s="1631">
        <v>44225</v>
      </c>
    </row>
    <row r="156" spans="1:13" s="1353" customFormat="1" ht="14.5">
      <c r="A156" s="1627">
        <v>149</v>
      </c>
      <c r="B156" s="1628" t="s">
        <v>1003</v>
      </c>
      <c r="C156" s="1629" t="s">
        <v>3899</v>
      </c>
      <c r="D156" s="1629" t="s">
        <v>3901</v>
      </c>
      <c r="E156" s="1629" t="s">
        <v>788</v>
      </c>
      <c r="F156" s="1627" t="s">
        <v>5098</v>
      </c>
      <c r="G156" s="1627">
        <v>80</v>
      </c>
      <c r="H156" s="1627" t="s">
        <v>956</v>
      </c>
      <c r="I156" s="1627" t="s">
        <v>968</v>
      </c>
      <c r="J156" s="1630" t="s">
        <v>4906</v>
      </c>
      <c r="K156" s="1630" t="s">
        <v>961</v>
      </c>
      <c r="L156" s="1629" t="s">
        <v>5104</v>
      </c>
      <c r="M156" s="1631">
        <v>44225</v>
      </c>
    </row>
    <row r="157" spans="1:13" s="1353" customFormat="1" ht="14.5">
      <c r="A157" s="1627">
        <v>150</v>
      </c>
      <c r="B157" s="1628" t="s">
        <v>1003</v>
      </c>
      <c r="C157" s="1629" t="s">
        <v>3899</v>
      </c>
      <c r="D157" s="1629" t="s">
        <v>3901</v>
      </c>
      <c r="E157" s="1629" t="s">
        <v>788</v>
      </c>
      <c r="F157" s="1627" t="s">
        <v>5098</v>
      </c>
      <c r="G157" s="1627">
        <v>80</v>
      </c>
      <c r="H157" s="1627" t="s">
        <v>956</v>
      </c>
      <c r="I157" s="1627" t="s">
        <v>980</v>
      </c>
      <c r="J157" s="1630" t="s">
        <v>4906</v>
      </c>
      <c r="K157" s="1630" t="s">
        <v>961</v>
      </c>
      <c r="L157" s="1629" t="s">
        <v>5104</v>
      </c>
      <c r="M157" s="1631">
        <v>44225</v>
      </c>
    </row>
    <row r="158" spans="1:13" s="1353" customFormat="1" ht="14.5">
      <c r="A158" s="1627">
        <v>151</v>
      </c>
      <c r="B158" s="1628" t="s">
        <v>1003</v>
      </c>
      <c r="C158" s="1629" t="s">
        <v>3899</v>
      </c>
      <c r="D158" s="1629" t="s">
        <v>3901</v>
      </c>
      <c r="E158" s="1629" t="s">
        <v>788</v>
      </c>
      <c r="F158" s="1627" t="s">
        <v>5098</v>
      </c>
      <c r="G158" s="1627">
        <v>80</v>
      </c>
      <c r="H158" s="1627" t="s">
        <v>956</v>
      </c>
      <c r="I158" s="1627" t="s">
        <v>985</v>
      </c>
      <c r="J158" s="1630" t="s">
        <v>4906</v>
      </c>
      <c r="K158" s="1630" t="s">
        <v>961</v>
      </c>
      <c r="L158" s="1629" t="s">
        <v>5104</v>
      </c>
      <c r="M158" s="1631">
        <v>44225</v>
      </c>
    </row>
    <row r="159" spans="1:13" s="1353" customFormat="1" ht="14.5">
      <c r="A159" s="1627">
        <v>152</v>
      </c>
      <c r="B159" s="1628" t="s">
        <v>1003</v>
      </c>
      <c r="C159" s="1629" t="s">
        <v>3899</v>
      </c>
      <c r="D159" s="1629" t="s">
        <v>3901</v>
      </c>
      <c r="E159" s="1629" t="s">
        <v>788</v>
      </c>
      <c r="F159" s="1627" t="s">
        <v>5098</v>
      </c>
      <c r="G159" s="1627">
        <v>80</v>
      </c>
      <c r="H159" s="1627" t="s">
        <v>956</v>
      </c>
      <c r="I159" s="1627" t="s">
        <v>958</v>
      </c>
      <c r="J159" s="1630" t="s">
        <v>4906</v>
      </c>
      <c r="K159" s="1630" t="s">
        <v>961</v>
      </c>
      <c r="L159" s="1629" t="s">
        <v>5104</v>
      </c>
      <c r="M159" s="1631">
        <v>44225</v>
      </c>
    </row>
    <row r="160" spans="1:13" s="1353" customFormat="1" ht="58">
      <c r="A160" s="1627">
        <v>153</v>
      </c>
      <c r="B160" s="1628" t="s">
        <v>1008</v>
      </c>
      <c r="C160" s="1629" t="s">
        <v>4007</v>
      </c>
      <c r="D160" s="1629" t="s">
        <v>629</v>
      </c>
      <c r="E160" s="1629" t="s">
        <v>788</v>
      </c>
      <c r="F160" s="1627" t="s">
        <v>5098</v>
      </c>
      <c r="G160" s="1627">
        <v>41</v>
      </c>
      <c r="H160" s="1627" t="s">
        <v>1090</v>
      </c>
      <c r="I160" s="1627" t="s">
        <v>1037</v>
      </c>
      <c r="J160" s="1630" t="s">
        <v>978</v>
      </c>
      <c r="K160" s="1630" t="s">
        <v>966</v>
      </c>
      <c r="L160" s="1629" t="s">
        <v>5099</v>
      </c>
      <c r="M160" s="1631">
        <v>44225</v>
      </c>
    </row>
    <row r="161" spans="1:13" s="1353" customFormat="1" ht="58">
      <c r="A161" s="1627">
        <v>154</v>
      </c>
      <c r="B161" s="1628" t="s">
        <v>1008</v>
      </c>
      <c r="C161" s="1629" t="s">
        <v>1150</v>
      </c>
      <c r="D161" s="1629" t="s">
        <v>1124</v>
      </c>
      <c r="E161" s="1629" t="s">
        <v>788</v>
      </c>
      <c r="F161" s="1627" t="s">
        <v>5098</v>
      </c>
      <c r="G161" s="1627">
        <v>41</v>
      </c>
      <c r="H161" s="1627" t="s">
        <v>1090</v>
      </c>
      <c r="I161" s="1627" t="s">
        <v>1037</v>
      </c>
      <c r="J161" s="1630" t="s">
        <v>978</v>
      </c>
      <c r="K161" s="1630" t="s">
        <v>966</v>
      </c>
      <c r="L161" s="1629" t="s">
        <v>5100</v>
      </c>
      <c r="M161" s="1631">
        <v>44225</v>
      </c>
    </row>
    <row r="162" spans="1:13" s="1353" customFormat="1" ht="58">
      <c r="A162" s="1627">
        <v>155</v>
      </c>
      <c r="B162" s="1628" t="s">
        <v>982</v>
      </c>
      <c r="C162" s="1629" t="s">
        <v>4221</v>
      </c>
      <c r="D162" s="1629" t="s">
        <v>629</v>
      </c>
      <c r="E162" s="1629" t="s">
        <v>788</v>
      </c>
      <c r="F162" s="1627" t="s">
        <v>5098</v>
      </c>
      <c r="G162" s="1627">
        <v>41</v>
      </c>
      <c r="H162" s="1627" t="s">
        <v>1090</v>
      </c>
      <c r="I162" s="1627" t="s">
        <v>1037</v>
      </c>
      <c r="J162" s="1630" t="s">
        <v>978</v>
      </c>
      <c r="K162" s="1630" t="s">
        <v>966</v>
      </c>
      <c r="L162" s="1629" t="s">
        <v>5099</v>
      </c>
      <c r="M162" s="1631">
        <v>44225</v>
      </c>
    </row>
    <row r="163" spans="1:13" s="1353" customFormat="1" ht="58">
      <c r="A163" s="1627">
        <v>156</v>
      </c>
      <c r="B163" s="1628" t="s">
        <v>982</v>
      </c>
      <c r="C163" s="1629" t="s">
        <v>1128</v>
      </c>
      <c r="D163" s="1629" t="s">
        <v>1124</v>
      </c>
      <c r="E163" s="1629" t="s">
        <v>788</v>
      </c>
      <c r="F163" s="1627" t="s">
        <v>5098</v>
      </c>
      <c r="G163" s="1627">
        <v>41</v>
      </c>
      <c r="H163" s="1627" t="s">
        <v>1090</v>
      </c>
      <c r="I163" s="1627" t="s">
        <v>1037</v>
      </c>
      <c r="J163" s="1630" t="s">
        <v>978</v>
      </c>
      <c r="K163" s="1630" t="s">
        <v>966</v>
      </c>
      <c r="L163" s="1629" t="s">
        <v>5100</v>
      </c>
      <c r="M163" s="1631">
        <v>44225</v>
      </c>
    </row>
    <row r="164" spans="1:13" s="1353" customFormat="1" ht="58">
      <c r="A164" s="1627">
        <v>157</v>
      </c>
      <c r="B164" s="1628" t="s">
        <v>1012</v>
      </c>
      <c r="C164" s="1629" t="s">
        <v>1153</v>
      </c>
      <c r="D164" s="1629" t="s">
        <v>1124</v>
      </c>
      <c r="E164" s="1629" t="s">
        <v>788</v>
      </c>
      <c r="F164" s="1627" t="s">
        <v>5098</v>
      </c>
      <c r="G164" s="1627">
        <v>41</v>
      </c>
      <c r="H164" s="1627" t="s">
        <v>1090</v>
      </c>
      <c r="I164" s="1627" t="s">
        <v>1037</v>
      </c>
      <c r="J164" s="1630" t="s">
        <v>978</v>
      </c>
      <c r="K164" s="1630" t="s">
        <v>966</v>
      </c>
      <c r="L164" s="1629" t="s">
        <v>5100</v>
      </c>
      <c r="M164" s="1631">
        <v>44225</v>
      </c>
    </row>
    <row r="165" spans="1:13" s="1353" customFormat="1" ht="43.5">
      <c r="A165" s="1627">
        <v>158</v>
      </c>
      <c r="B165" s="1628" t="s">
        <v>4952</v>
      </c>
      <c r="C165" s="1629" t="s">
        <v>1037</v>
      </c>
      <c r="D165" s="1629" t="s">
        <v>4953</v>
      </c>
      <c r="E165" s="1629" t="s">
        <v>4954</v>
      </c>
      <c r="F165" s="1627" t="s">
        <v>5098</v>
      </c>
      <c r="G165" s="1627">
        <v>40</v>
      </c>
      <c r="H165" s="1636" t="s">
        <v>4956</v>
      </c>
      <c r="I165" s="1627" t="s">
        <v>1037</v>
      </c>
      <c r="J165" s="1630" t="s">
        <v>4906</v>
      </c>
      <c r="K165" s="1637">
        <v>0</v>
      </c>
      <c r="L165" s="1629" t="s">
        <v>5105</v>
      </c>
      <c r="M165" s="1631">
        <v>44327</v>
      </c>
    </row>
    <row r="166" spans="1:13" s="1353" customFormat="1" ht="29">
      <c r="A166" s="1627">
        <v>159</v>
      </c>
      <c r="B166" s="1628" t="s">
        <v>4952</v>
      </c>
      <c r="C166" s="1629" t="s">
        <v>1037</v>
      </c>
      <c r="D166" s="1629" t="s">
        <v>5106</v>
      </c>
      <c r="E166" s="1629" t="s">
        <v>788</v>
      </c>
      <c r="F166" s="1627" t="s">
        <v>5098</v>
      </c>
      <c r="G166" s="1636" t="s">
        <v>5107</v>
      </c>
      <c r="H166" s="1627" t="s">
        <v>4972</v>
      </c>
      <c r="I166" s="1627" t="s">
        <v>1037</v>
      </c>
      <c r="J166" s="1638" t="s">
        <v>4973</v>
      </c>
      <c r="K166" s="1638" t="s">
        <v>4974</v>
      </c>
      <c r="L166" s="1629" t="s">
        <v>4975</v>
      </c>
      <c r="M166" s="1631">
        <v>44329</v>
      </c>
    </row>
    <row r="167" spans="1:13" s="1353" customFormat="1" ht="43.5">
      <c r="A167" s="1627">
        <v>160</v>
      </c>
      <c r="B167" s="1628" t="s">
        <v>982</v>
      </c>
      <c r="C167" s="1629" t="s">
        <v>4183</v>
      </c>
      <c r="D167" s="1629" t="s">
        <v>4976</v>
      </c>
      <c r="E167" s="1629" t="s">
        <v>4954</v>
      </c>
      <c r="F167" s="1627" t="s">
        <v>5098</v>
      </c>
      <c r="G167" s="1627">
        <v>105</v>
      </c>
      <c r="H167" s="1627" t="s">
        <v>1861</v>
      </c>
      <c r="I167" s="1627" t="s">
        <v>968</v>
      </c>
      <c r="J167" s="1639">
        <v>1.1805555555555564E-3</v>
      </c>
      <c r="K167" s="1639">
        <v>3.4606481481481485E-3</v>
      </c>
      <c r="L167" s="1629" t="s">
        <v>4977</v>
      </c>
      <c r="M167" s="1631">
        <v>44334</v>
      </c>
    </row>
    <row r="168" spans="1:13" s="1353" customFormat="1" ht="43.5">
      <c r="A168" s="1627">
        <v>161</v>
      </c>
      <c r="B168" s="1628" t="s">
        <v>982</v>
      </c>
      <c r="C168" s="1629" t="s">
        <v>4183</v>
      </c>
      <c r="D168" s="1629" t="s">
        <v>4976</v>
      </c>
      <c r="E168" s="1629" t="s">
        <v>4954</v>
      </c>
      <c r="F168" s="1627" t="s">
        <v>5098</v>
      </c>
      <c r="G168" s="1627">
        <v>105</v>
      </c>
      <c r="H168" s="1627" t="s">
        <v>1861</v>
      </c>
      <c r="I168" s="1627" t="s">
        <v>980</v>
      </c>
      <c r="J168" s="1639">
        <v>1.2037037037037038E-3</v>
      </c>
      <c r="K168" s="1639">
        <v>3.0092592592592588E-3</v>
      </c>
      <c r="L168" s="1629" t="s">
        <v>4977</v>
      </c>
      <c r="M168" s="1631">
        <v>44334</v>
      </c>
    </row>
    <row r="169" spans="1:13" s="1353" customFormat="1" ht="43.5">
      <c r="A169" s="1627">
        <v>162</v>
      </c>
      <c r="B169" s="1628" t="s">
        <v>982</v>
      </c>
      <c r="C169" s="1629" t="s">
        <v>4183</v>
      </c>
      <c r="D169" s="1629" t="s">
        <v>4976</v>
      </c>
      <c r="E169" s="1629" t="s">
        <v>4954</v>
      </c>
      <c r="F169" s="1627" t="s">
        <v>5098</v>
      </c>
      <c r="G169" s="1627">
        <v>105</v>
      </c>
      <c r="H169" s="1627" t="s">
        <v>1861</v>
      </c>
      <c r="I169" s="1627" t="s">
        <v>985</v>
      </c>
      <c r="J169" s="1639">
        <v>1.1458333333333342E-3</v>
      </c>
      <c r="K169" s="1639">
        <v>2.615740740740741E-3</v>
      </c>
      <c r="L169" s="1629" t="s">
        <v>4977</v>
      </c>
      <c r="M169" s="1631">
        <v>44334</v>
      </c>
    </row>
    <row r="170" spans="1:13" s="1353" customFormat="1" ht="43.5">
      <c r="A170" s="1627">
        <v>163</v>
      </c>
      <c r="B170" s="1628" t="s">
        <v>982</v>
      </c>
      <c r="C170" s="1629" t="s">
        <v>4183</v>
      </c>
      <c r="D170" s="1629" t="s">
        <v>4976</v>
      </c>
      <c r="E170" s="1629" t="s">
        <v>4954</v>
      </c>
      <c r="F170" s="1627" t="s">
        <v>5098</v>
      </c>
      <c r="G170" s="1627">
        <v>105</v>
      </c>
      <c r="H170" s="1627" t="s">
        <v>1861</v>
      </c>
      <c r="I170" s="1627" t="s">
        <v>958</v>
      </c>
      <c r="J170" s="1639">
        <v>1.3773148148148147E-3</v>
      </c>
      <c r="K170" s="1639">
        <v>2.1990740740740742E-3</v>
      </c>
      <c r="L170" s="1629" t="s">
        <v>4977</v>
      </c>
      <c r="M170" s="1631">
        <v>44334</v>
      </c>
    </row>
    <row r="171" spans="1:13" s="1353" customFormat="1" ht="43.5">
      <c r="A171" s="1627">
        <v>164</v>
      </c>
      <c r="B171" s="1628" t="s">
        <v>982</v>
      </c>
      <c r="C171" s="1629" t="s">
        <v>4183</v>
      </c>
      <c r="D171" s="1629" t="s">
        <v>4976</v>
      </c>
      <c r="E171" s="1629" t="s">
        <v>4954</v>
      </c>
      <c r="F171" s="1627" t="s">
        <v>5098</v>
      </c>
      <c r="G171" s="1627">
        <v>105</v>
      </c>
      <c r="H171" s="1627" t="s">
        <v>1861</v>
      </c>
      <c r="I171" s="1627" t="s">
        <v>970</v>
      </c>
      <c r="J171" s="1639">
        <v>1.3888888888888889E-3</v>
      </c>
      <c r="K171" s="1639">
        <v>1.8865740740740742E-3</v>
      </c>
      <c r="L171" s="1629" t="s">
        <v>4977</v>
      </c>
      <c r="M171" s="1631">
        <v>44334</v>
      </c>
    </row>
    <row r="172" spans="1:13" s="1353" customFormat="1" ht="43.5">
      <c r="A172" s="1627">
        <v>165</v>
      </c>
      <c r="B172" s="1628" t="s">
        <v>1015</v>
      </c>
      <c r="C172" s="1629" t="s">
        <v>4685</v>
      </c>
      <c r="D172" s="1629" t="s">
        <v>689</v>
      </c>
      <c r="E172" s="1629" t="s">
        <v>4954</v>
      </c>
      <c r="F172" s="1627" t="s">
        <v>5098</v>
      </c>
      <c r="G172" s="1627">
        <v>118</v>
      </c>
      <c r="H172" s="1627" t="s">
        <v>1100</v>
      </c>
      <c r="I172" s="1627" t="s">
        <v>1037</v>
      </c>
      <c r="J172" s="1630">
        <v>-1.224</v>
      </c>
      <c r="K172" s="1630">
        <v>-1.1950000000000001</v>
      </c>
      <c r="L172" s="1629" t="s">
        <v>5108</v>
      </c>
      <c r="M172" s="1631">
        <v>44335</v>
      </c>
    </row>
    <row r="173" spans="1:13" s="1353" customFormat="1" ht="43.5">
      <c r="A173" s="1627">
        <v>166</v>
      </c>
      <c r="B173" s="1628" t="s">
        <v>1015</v>
      </c>
      <c r="C173" s="1629" t="s">
        <v>4688</v>
      </c>
      <c r="D173" s="1629" t="s">
        <v>689</v>
      </c>
      <c r="E173" s="1629" t="s">
        <v>4954</v>
      </c>
      <c r="F173" s="1627" t="s">
        <v>5098</v>
      </c>
      <c r="G173" s="1627">
        <v>122</v>
      </c>
      <c r="H173" s="1627" t="s">
        <v>1099</v>
      </c>
      <c r="I173" s="1627" t="s">
        <v>1037</v>
      </c>
      <c r="J173" s="1630">
        <v>0.61399999999999999</v>
      </c>
      <c r="K173" s="1630">
        <v>0.6</v>
      </c>
      <c r="L173" s="1629" t="s">
        <v>5108</v>
      </c>
      <c r="M173" s="1631">
        <v>44335</v>
      </c>
    </row>
    <row r="174" spans="1:13" s="1353" customFormat="1" ht="43.5">
      <c r="A174" s="1627">
        <v>167</v>
      </c>
      <c r="B174" s="1629" t="s">
        <v>4980</v>
      </c>
      <c r="C174" s="1629" t="s">
        <v>1037</v>
      </c>
      <c r="D174" s="1629" t="s">
        <v>4953</v>
      </c>
      <c r="E174" s="1629" t="s">
        <v>4954</v>
      </c>
      <c r="F174" s="1627" t="s">
        <v>5098</v>
      </c>
      <c r="G174" s="1627">
        <v>40</v>
      </c>
      <c r="H174" s="1627" t="s">
        <v>5109</v>
      </c>
      <c r="I174" s="1627" t="s">
        <v>1037</v>
      </c>
      <c r="J174" s="1636" t="s">
        <v>4973</v>
      </c>
      <c r="K174" s="1627" t="s">
        <v>4982</v>
      </c>
      <c r="L174" s="1629" t="s">
        <v>4983</v>
      </c>
      <c r="M174" s="1631">
        <v>44335</v>
      </c>
    </row>
    <row r="175" spans="1:13" s="1353" customFormat="1" ht="58">
      <c r="A175" s="1627">
        <v>168</v>
      </c>
      <c r="B175" s="1629" t="s">
        <v>4984</v>
      </c>
      <c r="C175" s="1629" t="s">
        <v>1037</v>
      </c>
      <c r="D175" s="1629" t="s">
        <v>4953</v>
      </c>
      <c r="E175" s="1629" t="s">
        <v>4954</v>
      </c>
      <c r="F175" s="1627" t="s">
        <v>5098</v>
      </c>
      <c r="G175" s="1627">
        <v>40</v>
      </c>
      <c r="H175" s="1627" t="s">
        <v>5109</v>
      </c>
      <c r="I175" s="1627" t="s">
        <v>1037</v>
      </c>
      <c r="J175" s="1636" t="s">
        <v>4973</v>
      </c>
      <c r="K175" s="1627" t="s">
        <v>4982</v>
      </c>
      <c r="L175" s="1629" t="s">
        <v>4983</v>
      </c>
      <c r="M175" s="1631">
        <v>44335</v>
      </c>
    </row>
    <row r="176" spans="1:13" s="1353" customFormat="1" ht="43.5">
      <c r="A176" s="1627">
        <v>169</v>
      </c>
      <c r="B176" s="1628" t="s">
        <v>1022</v>
      </c>
      <c r="C176" s="1629" t="s">
        <v>2228</v>
      </c>
      <c r="D176" s="1629" t="s">
        <v>1923</v>
      </c>
      <c r="E176" s="1629" t="s">
        <v>4954</v>
      </c>
      <c r="F176" s="1627" t="s">
        <v>5098</v>
      </c>
      <c r="G176" s="1627">
        <v>87</v>
      </c>
      <c r="H176" s="1627" t="s">
        <v>1861</v>
      </c>
      <c r="I176" s="1627" t="s">
        <v>968</v>
      </c>
      <c r="J176" s="1639">
        <v>2.58101851875E-3</v>
      </c>
      <c r="K176" s="1639">
        <v>1.8171296296296297E-3</v>
      </c>
      <c r="L176" s="1629" t="s">
        <v>4985</v>
      </c>
      <c r="M176" s="1631">
        <v>44335</v>
      </c>
    </row>
    <row r="177" spans="1:13" s="1353" customFormat="1" ht="43.5">
      <c r="A177" s="1627">
        <v>170</v>
      </c>
      <c r="B177" s="1628" t="s">
        <v>1022</v>
      </c>
      <c r="C177" s="1629" t="s">
        <v>2231</v>
      </c>
      <c r="D177" s="1629" t="s">
        <v>1923</v>
      </c>
      <c r="E177" s="1629" t="s">
        <v>4954</v>
      </c>
      <c r="F177" s="1627" t="s">
        <v>5098</v>
      </c>
      <c r="G177" s="1627">
        <v>87</v>
      </c>
      <c r="H177" s="1627" t="s">
        <v>1861</v>
      </c>
      <c r="I177" s="1627" t="s">
        <v>980</v>
      </c>
      <c r="J177" s="1639">
        <v>2.546296296064815E-3</v>
      </c>
      <c r="K177" s="1639">
        <v>1.6203703703703703E-3</v>
      </c>
      <c r="L177" s="1629" t="s">
        <v>4985</v>
      </c>
      <c r="M177" s="1631">
        <v>44335</v>
      </c>
    </row>
    <row r="178" spans="1:13" s="1353" customFormat="1" ht="43.5">
      <c r="A178" s="1627">
        <v>171</v>
      </c>
      <c r="B178" s="1628" t="s">
        <v>1022</v>
      </c>
      <c r="C178" s="1629" t="s">
        <v>2235</v>
      </c>
      <c r="D178" s="1629" t="s">
        <v>1923</v>
      </c>
      <c r="E178" s="1629" t="s">
        <v>4954</v>
      </c>
      <c r="F178" s="1627" t="s">
        <v>5098</v>
      </c>
      <c r="G178" s="1627">
        <v>87</v>
      </c>
      <c r="H178" s="1627" t="s">
        <v>1861</v>
      </c>
      <c r="I178" s="1627" t="s">
        <v>985</v>
      </c>
      <c r="J178" s="1639">
        <v>2.488425925694445E-3</v>
      </c>
      <c r="K178" s="1639">
        <v>1.0416666666666667E-3</v>
      </c>
      <c r="L178" s="1629" t="s">
        <v>4985</v>
      </c>
      <c r="M178" s="1631">
        <v>44335</v>
      </c>
    </row>
    <row r="179" spans="1:13" s="1353" customFormat="1" ht="43.5">
      <c r="A179" s="1627">
        <v>172</v>
      </c>
      <c r="B179" s="1628" t="s">
        <v>1022</v>
      </c>
      <c r="C179" s="1629" t="s">
        <v>2238</v>
      </c>
      <c r="D179" s="1629" t="s">
        <v>1923</v>
      </c>
      <c r="E179" s="1629" t="s">
        <v>4954</v>
      </c>
      <c r="F179" s="1627" t="s">
        <v>5098</v>
      </c>
      <c r="G179" s="1627">
        <v>87</v>
      </c>
      <c r="H179" s="1627" t="s">
        <v>1861</v>
      </c>
      <c r="I179" s="1627" t="s">
        <v>958</v>
      </c>
      <c r="J179" s="1639">
        <v>2.4421296293981485E-3</v>
      </c>
      <c r="K179" s="1639">
        <v>1.0416666666666667E-3</v>
      </c>
      <c r="L179" s="1629" t="s">
        <v>4985</v>
      </c>
      <c r="M179" s="1631">
        <v>44335</v>
      </c>
    </row>
    <row r="180" spans="1:13" s="1353" customFormat="1" ht="43.5">
      <c r="A180" s="1627">
        <v>173</v>
      </c>
      <c r="B180" s="1628" t="s">
        <v>1022</v>
      </c>
      <c r="C180" s="1629" t="s">
        <v>2242</v>
      </c>
      <c r="D180" s="1629" t="s">
        <v>1923</v>
      </c>
      <c r="E180" s="1629" t="s">
        <v>4954</v>
      </c>
      <c r="F180" s="1627" t="s">
        <v>5098</v>
      </c>
      <c r="G180" s="1627">
        <v>87</v>
      </c>
      <c r="H180" s="1627" t="s">
        <v>1861</v>
      </c>
      <c r="I180" s="1627" t="s">
        <v>970</v>
      </c>
      <c r="J180" s="1639">
        <v>2.4305555555555556E-3</v>
      </c>
      <c r="K180" s="1639">
        <v>1.0416666666666667E-3</v>
      </c>
      <c r="L180" s="1629" t="s">
        <v>4985</v>
      </c>
      <c r="M180" s="1631">
        <v>44335</v>
      </c>
    </row>
    <row r="181" spans="1:13" s="1353" customFormat="1" ht="43.5">
      <c r="A181" s="1627">
        <v>174</v>
      </c>
      <c r="B181" s="1628" t="s">
        <v>1022</v>
      </c>
      <c r="C181" s="1640" t="s">
        <v>2343</v>
      </c>
      <c r="D181" s="1640" t="s">
        <v>2345</v>
      </c>
      <c r="E181" s="1629" t="s">
        <v>4954</v>
      </c>
      <c r="F181" s="1627" t="s">
        <v>5098</v>
      </c>
      <c r="G181" s="1627">
        <v>41</v>
      </c>
      <c r="H181" s="1627" t="s">
        <v>1090</v>
      </c>
      <c r="I181" s="1627" t="s">
        <v>4986</v>
      </c>
      <c r="J181" s="1630" t="s">
        <v>966</v>
      </c>
      <c r="K181" s="1630" t="s">
        <v>978</v>
      </c>
      <c r="L181" s="1629" t="s">
        <v>4985</v>
      </c>
      <c r="M181" s="1631">
        <v>44335</v>
      </c>
    </row>
    <row r="182" spans="1:13" s="1353" customFormat="1" ht="43.5">
      <c r="A182" s="1627">
        <v>175</v>
      </c>
      <c r="B182" s="1628" t="s">
        <v>4952</v>
      </c>
      <c r="C182" s="1629" t="s">
        <v>4952</v>
      </c>
      <c r="D182" s="1629" t="s">
        <v>4952</v>
      </c>
      <c r="E182" s="1629" t="s">
        <v>4954</v>
      </c>
      <c r="F182" s="1627" t="s">
        <v>5098</v>
      </c>
      <c r="G182" s="1627">
        <v>40</v>
      </c>
      <c r="H182" s="1627" t="s">
        <v>132</v>
      </c>
      <c r="I182" s="1627" t="s">
        <v>1037</v>
      </c>
      <c r="J182" s="1638" t="s">
        <v>4973</v>
      </c>
      <c r="K182" s="1638" t="s">
        <v>4974</v>
      </c>
      <c r="L182" s="1629" t="s">
        <v>4987</v>
      </c>
      <c r="M182" s="1631">
        <v>44336</v>
      </c>
    </row>
    <row r="183" spans="1:13" s="1353" customFormat="1" ht="43.5">
      <c r="A183" s="1627">
        <v>176</v>
      </c>
      <c r="B183" s="1628" t="s">
        <v>1022</v>
      </c>
      <c r="C183" s="1640" t="s">
        <v>2343</v>
      </c>
      <c r="D183" s="1640" t="s">
        <v>2345</v>
      </c>
      <c r="E183" s="1629" t="s">
        <v>4954</v>
      </c>
      <c r="F183" s="1627" t="s">
        <v>5098</v>
      </c>
      <c r="G183" s="1627">
        <v>38</v>
      </c>
      <c r="H183" s="1627" t="s">
        <v>1873</v>
      </c>
      <c r="I183" s="1627" t="s">
        <v>4986</v>
      </c>
      <c r="J183" s="1638" t="s">
        <v>293</v>
      </c>
      <c r="K183" s="1638" t="s">
        <v>991</v>
      </c>
      <c r="L183" s="1629" t="s">
        <v>4985</v>
      </c>
      <c r="M183" s="1631">
        <v>44336</v>
      </c>
    </row>
    <row r="184" spans="1:13" s="1353" customFormat="1" ht="43.5">
      <c r="A184" s="1627">
        <v>177</v>
      </c>
      <c r="B184" s="1628" t="s">
        <v>1033</v>
      </c>
      <c r="C184" s="1640" t="s">
        <v>2998</v>
      </c>
      <c r="D184" s="1640" t="s">
        <v>3000</v>
      </c>
      <c r="E184" s="1629" t="s">
        <v>4954</v>
      </c>
      <c r="F184" s="1627" t="s">
        <v>5098</v>
      </c>
      <c r="G184" s="1627">
        <v>39</v>
      </c>
      <c r="H184" s="1627" t="s">
        <v>1874</v>
      </c>
      <c r="I184" s="1627" t="s">
        <v>4986</v>
      </c>
      <c r="J184" s="1638" t="s">
        <v>4992</v>
      </c>
      <c r="K184" s="1638" t="s">
        <v>3002</v>
      </c>
      <c r="L184" s="1629" t="s">
        <v>4993</v>
      </c>
      <c r="M184" s="1631">
        <v>44340</v>
      </c>
    </row>
    <row r="185" spans="1:13" s="1353" customFormat="1" ht="43.5">
      <c r="A185" s="1627">
        <v>178</v>
      </c>
      <c r="B185" s="1628" t="s">
        <v>1033</v>
      </c>
      <c r="C185" s="1640" t="s">
        <v>3020</v>
      </c>
      <c r="D185" s="1640" t="s">
        <v>3022</v>
      </c>
      <c r="E185" s="1629" t="s">
        <v>4954</v>
      </c>
      <c r="F185" s="1627" t="s">
        <v>5098</v>
      </c>
      <c r="G185" s="1627">
        <v>39</v>
      </c>
      <c r="H185" s="1627" t="s">
        <v>1874</v>
      </c>
      <c r="I185" s="1627" t="s">
        <v>4986</v>
      </c>
      <c r="J185" s="1638" t="s">
        <v>4992</v>
      </c>
      <c r="K185" s="1638" t="s">
        <v>3002</v>
      </c>
      <c r="L185" s="1629" t="s">
        <v>4993</v>
      </c>
      <c r="M185" s="1631">
        <v>44340</v>
      </c>
    </row>
    <row r="186" spans="1:13" s="1353" customFormat="1" ht="43.5">
      <c r="A186" s="1627">
        <v>179</v>
      </c>
      <c r="B186" s="1628" t="s">
        <v>1033</v>
      </c>
      <c r="C186" s="1640" t="s">
        <v>2998</v>
      </c>
      <c r="D186" s="1640" t="s">
        <v>3000</v>
      </c>
      <c r="E186" s="1629" t="s">
        <v>4954</v>
      </c>
      <c r="F186" s="1627" t="s">
        <v>5098</v>
      </c>
      <c r="G186" s="1627">
        <v>38</v>
      </c>
      <c r="H186" s="1627" t="s">
        <v>4994</v>
      </c>
      <c r="I186" s="1627" t="s">
        <v>4986</v>
      </c>
      <c r="J186" s="1638" t="s">
        <v>293</v>
      </c>
      <c r="K186" s="1638" t="s">
        <v>1039</v>
      </c>
      <c r="L186" s="1629" t="s">
        <v>4993</v>
      </c>
      <c r="M186" s="1631">
        <v>44340</v>
      </c>
    </row>
    <row r="187" spans="1:13" s="1353" customFormat="1" ht="43.5">
      <c r="A187" s="1627">
        <v>180</v>
      </c>
      <c r="B187" s="1628" t="s">
        <v>1033</v>
      </c>
      <c r="C187" s="1640" t="s">
        <v>3020</v>
      </c>
      <c r="D187" s="1640" t="s">
        <v>3022</v>
      </c>
      <c r="E187" s="1629" t="s">
        <v>4954</v>
      </c>
      <c r="F187" s="1627" t="s">
        <v>5098</v>
      </c>
      <c r="G187" s="1627">
        <v>38</v>
      </c>
      <c r="H187" s="1627" t="s">
        <v>4994</v>
      </c>
      <c r="I187" s="1627" t="s">
        <v>4986</v>
      </c>
      <c r="J187" s="1638" t="s">
        <v>293</v>
      </c>
      <c r="K187" s="1638" t="s">
        <v>1039</v>
      </c>
      <c r="L187" s="1629" t="s">
        <v>4993</v>
      </c>
      <c r="M187" s="1631">
        <v>44340</v>
      </c>
    </row>
    <row r="188" spans="1:13" s="1353" customFormat="1" ht="14.5">
      <c r="A188" s="1621">
        <v>181</v>
      </c>
      <c r="B188" s="1622" t="s">
        <v>1015</v>
      </c>
      <c r="C188" s="1623" t="s">
        <v>4659</v>
      </c>
      <c r="D188" s="1623" t="s">
        <v>629</v>
      </c>
      <c r="E188" s="1623" t="s">
        <v>4903</v>
      </c>
      <c r="F188" s="1621" t="s">
        <v>5098</v>
      </c>
      <c r="G188" s="1621">
        <v>90</v>
      </c>
      <c r="H188" s="1621" t="s">
        <v>1858</v>
      </c>
      <c r="I188" s="1621" t="s">
        <v>968</v>
      </c>
      <c r="J188" s="1633">
        <v>-4.7</v>
      </c>
      <c r="K188" s="1633">
        <v>-20</v>
      </c>
      <c r="L188" s="1623" t="s">
        <v>4907</v>
      </c>
      <c r="M188" s="1625">
        <v>44341</v>
      </c>
    </row>
    <row r="189" spans="1:13" s="1353" customFormat="1" ht="14.5">
      <c r="A189" s="1621">
        <v>182</v>
      </c>
      <c r="B189" s="1622" t="s">
        <v>1015</v>
      </c>
      <c r="C189" s="1623" t="s">
        <v>4659</v>
      </c>
      <c r="D189" s="1623" t="s">
        <v>629</v>
      </c>
      <c r="E189" s="1623" t="s">
        <v>4903</v>
      </c>
      <c r="F189" s="1621" t="s">
        <v>5098</v>
      </c>
      <c r="G189" s="1621">
        <v>90</v>
      </c>
      <c r="H189" s="1621" t="s">
        <v>1858</v>
      </c>
      <c r="I189" s="1621" t="s">
        <v>980</v>
      </c>
      <c r="J189" s="1633">
        <v>-4.7</v>
      </c>
      <c r="K189" s="1633">
        <v>-20</v>
      </c>
      <c r="L189" s="1623" t="s">
        <v>4907</v>
      </c>
      <c r="M189" s="1625">
        <v>44341</v>
      </c>
    </row>
    <row r="190" spans="1:13" s="1353" customFormat="1" ht="14.5">
      <c r="A190" s="1621">
        <v>183</v>
      </c>
      <c r="B190" s="1622" t="s">
        <v>1015</v>
      </c>
      <c r="C190" s="1623" t="s">
        <v>4659</v>
      </c>
      <c r="D190" s="1623" t="s">
        <v>629</v>
      </c>
      <c r="E190" s="1623" t="s">
        <v>4903</v>
      </c>
      <c r="F190" s="1621" t="s">
        <v>5098</v>
      </c>
      <c r="G190" s="1621">
        <v>90</v>
      </c>
      <c r="H190" s="1621" t="s">
        <v>1858</v>
      </c>
      <c r="I190" s="1621" t="s">
        <v>985</v>
      </c>
      <c r="J190" s="1633">
        <v>-4.7</v>
      </c>
      <c r="K190" s="1633">
        <v>-20</v>
      </c>
      <c r="L190" s="1623" t="s">
        <v>4907</v>
      </c>
      <c r="M190" s="1625">
        <v>44341</v>
      </c>
    </row>
    <row r="191" spans="1:13" s="1353" customFormat="1" ht="14.5">
      <c r="A191" s="1621">
        <v>184</v>
      </c>
      <c r="B191" s="1622" t="s">
        <v>1015</v>
      </c>
      <c r="C191" s="1623" t="s">
        <v>4659</v>
      </c>
      <c r="D191" s="1623" t="s">
        <v>629</v>
      </c>
      <c r="E191" s="1623" t="s">
        <v>4903</v>
      </c>
      <c r="F191" s="1621" t="s">
        <v>5098</v>
      </c>
      <c r="G191" s="1621">
        <v>90</v>
      </c>
      <c r="H191" s="1621" t="s">
        <v>1858</v>
      </c>
      <c r="I191" s="1621" t="s">
        <v>958</v>
      </c>
      <c r="J191" s="1633">
        <v>-4.7</v>
      </c>
      <c r="K191" s="1633">
        <v>-20</v>
      </c>
      <c r="L191" s="1623" t="s">
        <v>4907</v>
      </c>
      <c r="M191" s="1625">
        <v>44341</v>
      </c>
    </row>
    <row r="192" spans="1:13" s="1353" customFormat="1" ht="14.5">
      <c r="A192" s="1621">
        <v>185</v>
      </c>
      <c r="B192" s="1622" t="s">
        <v>1015</v>
      </c>
      <c r="C192" s="1623" t="s">
        <v>4659</v>
      </c>
      <c r="D192" s="1623" t="s">
        <v>629</v>
      </c>
      <c r="E192" s="1623" t="s">
        <v>4903</v>
      </c>
      <c r="F192" s="1621" t="s">
        <v>5098</v>
      </c>
      <c r="G192" s="1621">
        <v>90</v>
      </c>
      <c r="H192" s="1621" t="s">
        <v>1858</v>
      </c>
      <c r="I192" s="1621" t="s">
        <v>970</v>
      </c>
      <c r="J192" s="1633">
        <v>-4.7</v>
      </c>
      <c r="K192" s="1633">
        <v>-20</v>
      </c>
      <c r="L192" s="1623" t="s">
        <v>4907</v>
      </c>
      <c r="M192" s="1625">
        <v>44341</v>
      </c>
    </row>
    <row r="193" spans="1:13" s="1353" customFormat="1" ht="14.5">
      <c r="A193" s="1621">
        <v>186</v>
      </c>
      <c r="B193" s="1622" t="s">
        <v>990</v>
      </c>
      <c r="C193" s="1623" t="s">
        <v>2511</v>
      </c>
      <c r="D193" s="1623" t="s">
        <v>5031</v>
      </c>
      <c r="E193" s="1623" t="s">
        <v>4903</v>
      </c>
      <c r="F193" s="1621" t="s">
        <v>5098</v>
      </c>
      <c r="G193" s="1621">
        <v>90</v>
      </c>
      <c r="H193" s="1621" t="s">
        <v>1858</v>
      </c>
      <c r="I193" s="1621" t="s">
        <v>968</v>
      </c>
      <c r="J193" s="1633">
        <v>-20.2</v>
      </c>
      <c r="K193" s="1633">
        <v>-38</v>
      </c>
      <c r="L193" s="1623" t="s">
        <v>4907</v>
      </c>
      <c r="M193" s="1625">
        <v>44341</v>
      </c>
    </row>
    <row r="194" spans="1:13" s="1353" customFormat="1" ht="14.5">
      <c r="A194" s="1621">
        <v>187</v>
      </c>
      <c r="B194" s="1622" t="s">
        <v>990</v>
      </c>
      <c r="C194" s="1623" t="s">
        <v>2511</v>
      </c>
      <c r="D194" s="1623" t="s">
        <v>5031</v>
      </c>
      <c r="E194" s="1623" t="s">
        <v>4903</v>
      </c>
      <c r="F194" s="1621" t="s">
        <v>5098</v>
      </c>
      <c r="G194" s="1621">
        <v>90</v>
      </c>
      <c r="H194" s="1621" t="s">
        <v>1858</v>
      </c>
      <c r="I194" s="1621" t="s">
        <v>980</v>
      </c>
      <c r="J194" s="1633">
        <v>-20.2</v>
      </c>
      <c r="K194" s="1633">
        <v>-38</v>
      </c>
      <c r="L194" s="1623" t="s">
        <v>4907</v>
      </c>
      <c r="M194" s="1625">
        <v>44341</v>
      </c>
    </row>
    <row r="195" spans="1:13" s="1353" customFormat="1" ht="14.5">
      <c r="A195" s="1621">
        <v>188</v>
      </c>
      <c r="B195" s="1622" t="s">
        <v>990</v>
      </c>
      <c r="C195" s="1623" t="s">
        <v>2511</v>
      </c>
      <c r="D195" s="1623" t="s">
        <v>5031</v>
      </c>
      <c r="E195" s="1623" t="s">
        <v>4903</v>
      </c>
      <c r="F195" s="1621" t="s">
        <v>5098</v>
      </c>
      <c r="G195" s="1621">
        <v>90</v>
      </c>
      <c r="H195" s="1621" t="s">
        <v>1858</v>
      </c>
      <c r="I195" s="1621" t="s">
        <v>985</v>
      </c>
      <c r="J195" s="1633">
        <v>-20.2</v>
      </c>
      <c r="K195" s="1633">
        <v>-38</v>
      </c>
      <c r="L195" s="1623" t="s">
        <v>4907</v>
      </c>
      <c r="M195" s="1625">
        <v>44341</v>
      </c>
    </row>
    <row r="196" spans="1:13" s="1353" customFormat="1" ht="14.5">
      <c r="A196" s="1621">
        <v>189</v>
      </c>
      <c r="B196" s="1622" t="s">
        <v>990</v>
      </c>
      <c r="C196" s="1623" t="s">
        <v>2511</v>
      </c>
      <c r="D196" s="1623" t="s">
        <v>5031</v>
      </c>
      <c r="E196" s="1623" t="s">
        <v>4903</v>
      </c>
      <c r="F196" s="1621" t="s">
        <v>5098</v>
      </c>
      <c r="G196" s="1621">
        <v>90</v>
      </c>
      <c r="H196" s="1621" t="s">
        <v>1858</v>
      </c>
      <c r="I196" s="1621" t="s">
        <v>958</v>
      </c>
      <c r="J196" s="1633">
        <v>-20.2</v>
      </c>
      <c r="K196" s="1633">
        <v>-38</v>
      </c>
      <c r="L196" s="1623" t="s">
        <v>4907</v>
      </c>
      <c r="M196" s="1625">
        <v>44341</v>
      </c>
    </row>
    <row r="197" spans="1:13" s="1353" customFormat="1" ht="14.5">
      <c r="A197" s="1621">
        <v>190</v>
      </c>
      <c r="B197" s="1622" t="s">
        <v>990</v>
      </c>
      <c r="C197" s="1623" t="s">
        <v>2511</v>
      </c>
      <c r="D197" s="1623" t="s">
        <v>5031</v>
      </c>
      <c r="E197" s="1623" t="s">
        <v>4903</v>
      </c>
      <c r="F197" s="1621" t="s">
        <v>5098</v>
      </c>
      <c r="G197" s="1621">
        <v>90</v>
      </c>
      <c r="H197" s="1621" t="s">
        <v>1858</v>
      </c>
      <c r="I197" s="1621" t="s">
        <v>970</v>
      </c>
      <c r="J197" s="1633">
        <v>-20.2</v>
      </c>
      <c r="K197" s="1633">
        <v>-38</v>
      </c>
      <c r="L197" s="1623" t="s">
        <v>4907</v>
      </c>
      <c r="M197" s="1625">
        <v>44341</v>
      </c>
    </row>
    <row r="198" spans="1:13" s="1353" customFormat="1" ht="14.5">
      <c r="A198" s="1621">
        <v>191</v>
      </c>
      <c r="B198" s="1622" t="s">
        <v>990</v>
      </c>
      <c r="C198" s="1623" t="s">
        <v>2516</v>
      </c>
      <c r="D198" s="1623" t="s">
        <v>5110</v>
      </c>
      <c r="E198" s="1623" t="s">
        <v>4903</v>
      </c>
      <c r="F198" s="1621" t="s">
        <v>5098</v>
      </c>
      <c r="G198" s="1621">
        <v>90</v>
      </c>
      <c r="H198" s="1621" t="s">
        <v>1858</v>
      </c>
      <c r="I198" s="1621" t="s">
        <v>968</v>
      </c>
      <c r="J198" s="1633">
        <v>-56.6</v>
      </c>
      <c r="K198" s="1633">
        <v>-77.3</v>
      </c>
      <c r="L198" s="1623" t="s">
        <v>4907</v>
      </c>
      <c r="M198" s="1625">
        <v>44341</v>
      </c>
    </row>
    <row r="199" spans="1:13" s="1353" customFormat="1" ht="14.5">
      <c r="A199" s="1621">
        <v>192</v>
      </c>
      <c r="B199" s="1622" t="s">
        <v>990</v>
      </c>
      <c r="C199" s="1623" t="s">
        <v>2516</v>
      </c>
      <c r="D199" s="1623" t="s">
        <v>5110</v>
      </c>
      <c r="E199" s="1623" t="s">
        <v>4903</v>
      </c>
      <c r="F199" s="1621" t="s">
        <v>5098</v>
      </c>
      <c r="G199" s="1621">
        <v>90</v>
      </c>
      <c r="H199" s="1621" t="s">
        <v>1858</v>
      </c>
      <c r="I199" s="1621" t="s">
        <v>980</v>
      </c>
      <c r="J199" s="1633">
        <v>-56.6</v>
      </c>
      <c r="K199" s="1633">
        <v>-77.3</v>
      </c>
      <c r="L199" s="1623" t="s">
        <v>4907</v>
      </c>
      <c r="M199" s="1625">
        <v>44341</v>
      </c>
    </row>
    <row r="200" spans="1:13" s="1353" customFormat="1" ht="14.5">
      <c r="A200" s="1621">
        <v>193</v>
      </c>
      <c r="B200" s="1622" t="s">
        <v>990</v>
      </c>
      <c r="C200" s="1623" t="s">
        <v>2516</v>
      </c>
      <c r="D200" s="1623" t="s">
        <v>5110</v>
      </c>
      <c r="E200" s="1623" t="s">
        <v>4903</v>
      </c>
      <c r="F200" s="1621" t="s">
        <v>5098</v>
      </c>
      <c r="G200" s="1621">
        <v>90</v>
      </c>
      <c r="H200" s="1621" t="s">
        <v>1858</v>
      </c>
      <c r="I200" s="1621" t="s">
        <v>985</v>
      </c>
      <c r="J200" s="1633">
        <v>-56.6</v>
      </c>
      <c r="K200" s="1633">
        <v>-77.3</v>
      </c>
      <c r="L200" s="1623" t="s">
        <v>4907</v>
      </c>
      <c r="M200" s="1625">
        <v>44341</v>
      </c>
    </row>
    <row r="201" spans="1:13" s="1353" customFormat="1" ht="14.5">
      <c r="A201" s="1621">
        <v>194</v>
      </c>
      <c r="B201" s="1622" t="s">
        <v>990</v>
      </c>
      <c r="C201" s="1623" t="s">
        <v>2516</v>
      </c>
      <c r="D201" s="1623" t="s">
        <v>5110</v>
      </c>
      <c r="E201" s="1623" t="s">
        <v>4903</v>
      </c>
      <c r="F201" s="1621" t="s">
        <v>5098</v>
      </c>
      <c r="G201" s="1621">
        <v>90</v>
      </c>
      <c r="H201" s="1621" t="s">
        <v>1858</v>
      </c>
      <c r="I201" s="1621" t="s">
        <v>958</v>
      </c>
      <c r="J201" s="1633">
        <v>-56.6</v>
      </c>
      <c r="K201" s="1633">
        <v>-77.3</v>
      </c>
      <c r="L201" s="1623" t="s">
        <v>4907</v>
      </c>
      <c r="M201" s="1625">
        <v>44341</v>
      </c>
    </row>
    <row r="202" spans="1:13" s="1353" customFormat="1" ht="14.5">
      <c r="A202" s="1621">
        <v>195</v>
      </c>
      <c r="B202" s="1622" t="s">
        <v>990</v>
      </c>
      <c r="C202" s="1623" t="s">
        <v>2516</v>
      </c>
      <c r="D202" s="1623" t="s">
        <v>5110</v>
      </c>
      <c r="E202" s="1623" t="s">
        <v>4903</v>
      </c>
      <c r="F202" s="1621" t="s">
        <v>5098</v>
      </c>
      <c r="G202" s="1621">
        <v>90</v>
      </c>
      <c r="H202" s="1621" t="s">
        <v>1858</v>
      </c>
      <c r="I202" s="1621" t="s">
        <v>970</v>
      </c>
      <c r="J202" s="1633">
        <v>-56.6</v>
      </c>
      <c r="K202" s="1633">
        <v>-77.3</v>
      </c>
      <c r="L202" s="1623" t="s">
        <v>4907</v>
      </c>
      <c r="M202" s="1625">
        <v>44341</v>
      </c>
    </row>
    <row r="203" spans="1:13" s="1353" customFormat="1" ht="14.5">
      <c r="A203" s="1621">
        <v>196</v>
      </c>
      <c r="B203" s="1622" t="s">
        <v>990</v>
      </c>
      <c r="C203" s="1623" t="s">
        <v>2511</v>
      </c>
      <c r="D203" s="1623" t="s">
        <v>2513</v>
      </c>
      <c r="E203" s="1623" t="s">
        <v>4903</v>
      </c>
      <c r="F203" s="1621" t="s">
        <v>5098</v>
      </c>
      <c r="G203" s="1621">
        <v>59</v>
      </c>
      <c r="H203" s="1621" t="s">
        <v>4915</v>
      </c>
      <c r="I203" s="1621" t="s">
        <v>968</v>
      </c>
      <c r="J203" s="1633">
        <v>0.9</v>
      </c>
      <c r="K203" s="1633">
        <v>1</v>
      </c>
      <c r="L203" s="1623" t="s">
        <v>4996</v>
      </c>
      <c r="M203" s="1625">
        <v>44341</v>
      </c>
    </row>
    <row r="204" spans="1:13" s="1353" customFormat="1" ht="14.5">
      <c r="A204" s="1621">
        <v>197</v>
      </c>
      <c r="B204" s="1622" t="s">
        <v>990</v>
      </c>
      <c r="C204" s="1623" t="s">
        <v>2511</v>
      </c>
      <c r="D204" s="1623" t="s">
        <v>2513</v>
      </c>
      <c r="E204" s="1623" t="s">
        <v>4903</v>
      </c>
      <c r="F204" s="1621" t="s">
        <v>5098</v>
      </c>
      <c r="G204" s="1621">
        <v>59</v>
      </c>
      <c r="H204" s="1621" t="s">
        <v>4915</v>
      </c>
      <c r="I204" s="1621" t="s">
        <v>980</v>
      </c>
      <c r="J204" s="1633">
        <v>1.9</v>
      </c>
      <c r="K204" s="1633">
        <v>3</v>
      </c>
      <c r="L204" s="1623" t="s">
        <v>4996</v>
      </c>
      <c r="M204" s="1625">
        <v>44341</v>
      </c>
    </row>
    <row r="205" spans="1:13" s="1353" customFormat="1" ht="14.5">
      <c r="A205" s="1621">
        <v>198</v>
      </c>
      <c r="B205" s="1622" t="s">
        <v>990</v>
      </c>
      <c r="C205" s="1623" t="s">
        <v>2511</v>
      </c>
      <c r="D205" s="1623" t="s">
        <v>2513</v>
      </c>
      <c r="E205" s="1623" t="s">
        <v>4903</v>
      </c>
      <c r="F205" s="1621" t="s">
        <v>5098</v>
      </c>
      <c r="G205" s="1621">
        <v>59</v>
      </c>
      <c r="H205" s="1621" t="s">
        <v>4915</v>
      </c>
      <c r="I205" s="1621" t="s">
        <v>985</v>
      </c>
      <c r="J205" s="1633">
        <v>5</v>
      </c>
      <c r="K205" s="1633">
        <v>6</v>
      </c>
      <c r="L205" s="1623" t="s">
        <v>4996</v>
      </c>
      <c r="M205" s="1625">
        <v>44341</v>
      </c>
    </row>
    <row r="206" spans="1:13" s="1353" customFormat="1" ht="14.5">
      <c r="A206" s="1621">
        <v>199</v>
      </c>
      <c r="B206" s="1622" t="s">
        <v>990</v>
      </c>
      <c r="C206" s="1623" t="s">
        <v>2511</v>
      </c>
      <c r="D206" s="1623" t="s">
        <v>2513</v>
      </c>
      <c r="E206" s="1623" t="s">
        <v>4903</v>
      </c>
      <c r="F206" s="1621" t="s">
        <v>5098</v>
      </c>
      <c r="G206" s="1621">
        <v>59</v>
      </c>
      <c r="H206" s="1621" t="s">
        <v>4915</v>
      </c>
      <c r="I206" s="1621" t="s">
        <v>958</v>
      </c>
      <c r="J206" s="1633">
        <v>8</v>
      </c>
      <c r="K206" s="1633">
        <v>9</v>
      </c>
      <c r="L206" s="1623" t="s">
        <v>4996</v>
      </c>
      <c r="M206" s="1625">
        <v>44341</v>
      </c>
    </row>
    <row r="207" spans="1:13" s="1353" customFormat="1" ht="14.5">
      <c r="A207" s="1621">
        <v>200</v>
      </c>
      <c r="B207" s="1622" t="s">
        <v>990</v>
      </c>
      <c r="C207" s="1623" t="s">
        <v>2511</v>
      </c>
      <c r="D207" s="1623" t="s">
        <v>2513</v>
      </c>
      <c r="E207" s="1623" t="s">
        <v>4903</v>
      </c>
      <c r="F207" s="1621" t="s">
        <v>5098</v>
      </c>
      <c r="G207" s="1621">
        <v>59</v>
      </c>
      <c r="H207" s="1621" t="s">
        <v>4915</v>
      </c>
      <c r="I207" s="1621" t="s">
        <v>970</v>
      </c>
      <c r="J207" s="1633">
        <v>11</v>
      </c>
      <c r="K207" s="1633">
        <v>12</v>
      </c>
      <c r="L207" s="1623" t="s">
        <v>4996</v>
      </c>
      <c r="M207" s="1625">
        <v>44341</v>
      </c>
    </row>
    <row r="208" spans="1:13" s="1353" customFormat="1" ht="14.5">
      <c r="A208" s="1621">
        <v>201</v>
      </c>
      <c r="B208" s="1622" t="s">
        <v>990</v>
      </c>
      <c r="C208" s="1623" t="s">
        <v>2516</v>
      </c>
      <c r="D208" s="1623" t="s">
        <v>2518</v>
      </c>
      <c r="E208" s="1623" t="s">
        <v>4903</v>
      </c>
      <c r="F208" s="1621" t="s">
        <v>5098</v>
      </c>
      <c r="G208" s="1621">
        <v>59</v>
      </c>
      <c r="H208" s="1621" t="s">
        <v>4915</v>
      </c>
      <c r="I208" s="1621" t="s">
        <v>968</v>
      </c>
      <c r="J208" s="1633">
        <v>6.2</v>
      </c>
      <c r="K208" s="1633">
        <v>1.3</v>
      </c>
      <c r="L208" s="1623" t="s">
        <v>4996</v>
      </c>
      <c r="M208" s="1625">
        <v>44341</v>
      </c>
    </row>
    <row r="209" spans="1:13" s="1353" customFormat="1" ht="14.5">
      <c r="A209" s="1621">
        <v>202</v>
      </c>
      <c r="B209" s="1622" t="s">
        <v>990</v>
      </c>
      <c r="C209" s="1623" t="s">
        <v>2516</v>
      </c>
      <c r="D209" s="1623" t="s">
        <v>2518</v>
      </c>
      <c r="E209" s="1623" t="s">
        <v>4903</v>
      </c>
      <c r="F209" s="1621" t="s">
        <v>5098</v>
      </c>
      <c r="G209" s="1621">
        <v>59</v>
      </c>
      <c r="H209" s="1621" t="s">
        <v>4915</v>
      </c>
      <c r="I209" s="1621" t="s">
        <v>980</v>
      </c>
      <c r="J209" s="1633">
        <v>8.5</v>
      </c>
      <c r="K209" s="1633">
        <v>3.7</v>
      </c>
      <c r="L209" s="1623" t="s">
        <v>4996</v>
      </c>
      <c r="M209" s="1625">
        <v>44341</v>
      </c>
    </row>
    <row r="210" spans="1:13" s="1353" customFormat="1" ht="14.5">
      <c r="A210" s="1621">
        <v>203</v>
      </c>
      <c r="B210" s="1622" t="s">
        <v>990</v>
      </c>
      <c r="C210" s="1623" t="s">
        <v>2516</v>
      </c>
      <c r="D210" s="1623" t="s">
        <v>2518</v>
      </c>
      <c r="E210" s="1623" t="s">
        <v>4903</v>
      </c>
      <c r="F210" s="1621" t="s">
        <v>5098</v>
      </c>
      <c r="G210" s="1621">
        <v>59</v>
      </c>
      <c r="H210" s="1621" t="s">
        <v>4915</v>
      </c>
      <c r="I210" s="1621" t="s">
        <v>985</v>
      </c>
      <c r="J210" s="1633">
        <v>11.8</v>
      </c>
      <c r="K210" s="1633">
        <v>7.2</v>
      </c>
      <c r="L210" s="1623" t="s">
        <v>4996</v>
      </c>
      <c r="M210" s="1625">
        <v>44341</v>
      </c>
    </row>
    <row r="211" spans="1:13" s="1353" customFormat="1" ht="14.5">
      <c r="A211" s="1621">
        <v>204</v>
      </c>
      <c r="B211" s="1622" t="s">
        <v>990</v>
      </c>
      <c r="C211" s="1623" t="s">
        <v>2516</v>
      </c>
      <c r="D211" s="1623" t="s">
        <v>2518</v>
      </c>
      <c r="E211" s="1623" t="s">
        <v>4903</v>
      </c>
      <c r="F211" s="1621" t="s">
        <v>5098</v>
      </c>
      <c r="G211" s="1621">
        <v>59</v>
      </c>
      <c r="H211" s="1621" t="s">
        <v>4915</v>
      </c>
      <c r="I211" s="1621" t="s">
        <v>958</v>
      </c>
      <c r="J211" s="1633">
        <v>15.2</v>
      </c>
      <c r="K211" s="1633">
        <v>10.5</v>
      </c>
      <c r="L211" s="1623" t="s">
        <v>4996</v>
      </c>
      <c r="M211" s="1625">
        <v>44341</v>
      </c>
    </row>
    <row r="212" spans="1:13" s="1353" customFormat="1" ht="14.5">
      <c r="A212" s="1621">
        <v>205</v>
      </c>
      <c r="B212" s="1622" t="s">
        <v>990</v>
      </c>
      <c r="C212" s="1623" t="s">
        <v>2516</v>
      </c>
      <c r="D212" s="1623" t="s">
        <v>2518</v>
      </c>
      <c r="E212" s="1623" t="s">
        <v>4903</v>
      </c>
      <c r="F212" s="1621" t="s">
        <v>5098</v>
      </c>
      <c r="G212" s="1621">
        <v>59</v>
      </c>
      <c r="H212" s="1621" t="s">
        <v>4915</v>
      </c>
      <c r="I212" s="1621" t="s">
        <v>970</v>
      </c>
      <c r="J212" s="1633">
        <v>18.5</v>
      </c>
      <c r="K212" s="1633">
        <v>14.1</v>
      </c>
      <c r="L212" s="1623" t="s">
        <v>4996</v>
      </c>
      <c r="M212" s="1625">
        <v>44341</v>
      </c>
    </row>
    <row r="213" spans="1:13" s="1353" customFormat="1" ht="14.5">
      <c r="A213" s="1621">
        <v>206</v>
      </c>
      <c r="B213" s="1622" t="s">
        <v>972</v>
      </c>
      <c r="C213" s="1623" t="s">
        <v>2078</v>
      </c>
      <c r="D213" s="1623" t="s">
        <v>629</v>
      </c>
      <c r="E213" s="1623" t="s">
        <v>4903</v>
      </c>
      <c r="F213" s="1621" t="s">
        <v>5098</v>
      </c>
      <c r="G213" s="1621">
        <v>90</v>
      </c>
      <c r="H213" s="1621" t="s">
        <v>1858</v>
      </c>
      <c r="I213" s="1621" t="s">
        <v>968</v>
      </c>
      <c r="J213" s="1633">
        <v>-80.8</v>
      </c>
      <c r="K213" s="1633">
        <v>-109.5</v>
      </c>
      <c r="L213" s="1623" t="s">
        <v>4997</v>
      </c>
      <c r="M213" s="1625">
        <v>44342</v>
      </c>
    </row>
    <row r="214" spans="1:13" s="1353" customFormat="1" ht="14.5">
      <c r="A214" s="1621">
        <v>207</v>
      </c>
      <c r="B214" s="1622" t="s">
        <v>972</v>
      </c>
      <c r="C214" s="1623" t="s">
        <v>2078</v>
      </c>
      <c r="D214" s="1623" t="s">
        <v>629</v>
      </c>
      <c r="E214" s="1623" t="s">
        <v>4903</v>
      </c>
      <c r="F214" s="1621" t="s">
        <v>5098</v>
      </c>
      <c r="G214" s="1621">
        <v>90</v>
      </c>
      <c r="H214" s="1621" t="s">
        <v>1858</v>
      </c>
      <c r="I214" s="1621" t="s">
        <v>980</v>
      </c>
      <c r="J214" s="1633">
        <v>-80.8</v>
      </c>
      <c r="K214" s="1633">
        <v>-109.5</v>
      </c>
      <c r="L214" s="1623" t="s">
        <v>4997</v>
      </c>
      <c r="M214" s="1625">
        <v>44342</v>
      </c>
    </row>
    <row r="215" spans="1:13" s="1353" customFormat="1" ht="14.5">
      <c r="A215" s="1621">
        <v>208</v>
      </c>
      <c r="B215" s="1622" t="s">
        <v>972</v>
      </c>
      <c r="C215" s="1623" t="s">
        <v>2078</v>
      </c>
      <c r="D215" s="1623" t="s">
        <v>629</v>
      </c>
      <c r="E215" s="1623" t="s">
        <v>4903</v>
      </c>
      <c r="F215" s="1621" t="s">
        <v>5098</v>
      </c>
      <c r="G215" s="1621">
        <v>90</v>
      </c>
      <c r="H215" s="1621" t="s">
        <v>1858</v>
      </c>
      <c r="I215" s="1621" t="s">
        <v>985</v>
      </c>
      <c r="J215" s="1633">
        <v>-80.8</v>
      </c>
      <c r="K215" s="1633">
        <v>-109.5</v>
      </c>
      <c r="L215" s="1623" t="s">
        <v>4997</v>
      </c>
      <c r="M215" s="1625">
        <v>44342</v>
      </c>
    </row>
    <row r="216" spans="1:13" s="1353" customFormat="1" ht="14.5">
      <c r="A216" s="1621">
        <v>209</v>
      </c>
      <c r="B216" s="1622" t="s">
        <v>972</v>
      </c>
      <c r="C216" s="1623" t="s">
        <v>2078</v>
      </c>
      <c r="D216" s="1623" t="s">
        <v>629</v>
      </c>
      <c r="E216" s="1623" t="s">
        <v>4903</v>
      </c>
      <c r="F216" s="1621" t="s">
        <v>5098</v>
      </c>
      <c r="G216" s="1621">
        <v>90</v>
      </c>
      <c r="H216" s="1621" t="s">
        <v>1858</v>
      </c>
      <c r="I216" s="1621" t="s">
        <v>958</v>
      </c>
      <c r="J216" s="1633">
        <v>-80.8</v>
      </c>
      <c r="K216" s="1633">
        <v>-109.5</v>
      </c>
      <c r="L216" s="1623" t="s">
        <v>4997</v>
      </c>
      <c r="M216" s="1625">
        <v>44342</v>
      </c>
    </row>
    <row r="217" spans="1:13" s="1353" customFormat="1" ht="14.5">
      <c r="A217" s="1621">
        <v>210</v>
      </c>
      <c r="B217" s="1622" t="s">
        <v>972</v>
      </c>
      <c r="C217" s="1623" t="s">
        <v>2078</v>
      </c>
      <c r="D217" s="1623" t="s">
        <v>629</v>
      </c>
      <c r="E217" s="1623" t="s">
        <v>4903</v>
      </c>
      <c r="F217" s="1621" t="s">
        <v>5098</v>
      </c>
      <c r="G217" s="1621">
        <v>90</v>
      </c>
      <c r="H217" s="1621" t="s">
        <v>1858</v>
      </c>
      <c r="I217" s="1621" t="s">
        <v>970</v>
      </c>
      <c r="J217" s="1633">
        <v>-80.8</v>
      </c>
      <c r="K217" s="1633">
        <v>-109.5</v>
      </c>
      <c r="L217" s="1623" t="s">
        <v>4997</v>
      </c>
      <c r="M217" s="1625">
        <v>44342</v>
      </c>
    </row>
    <row r="218" spans="1:13" s="1353" customFormat="1" ht="29">
      <c r="A218" s="1627">
        <v>211</v>
      </c>
      <c r="B218" s="1628" t="s">
        <v>1026</v>
      </c>
      <c r="C218" s="1629" t="s">
        <v>2800</v>
      </c>
      <c r="D218" s="1629" t="s">
        <v>499</v>
      </c>
      <c r="E218" s="1629" t="s">
        <v>788</v>
      </c>
      <c r="F218" s="1627" t="s">
        <v>5098</v>
      </c>
      <c r="G218" s="1627">
        <v>59</v>
      </c>
      <c r="H218" s="1627" t="s">
        <v>4915</v>
      </c>
      <c r="I218" s="1627" t="s">
        <v>968</v>
      </c>
      <c r="J218" s="1627">
        <v>0.8</v>
      </c>
      <c r="K218" s="1641">
        <v>0.84</v>
      </c>
      <c r="L218" s="1629" t="s">
        <v>5012</v>
      </c>
      <c r="M218" s="1631">
        <v>44342</v>
      </c>
    </row>
    <row r="219" spans="1:13" s="1353" customFormat="1" ht="29">
      <c r="A219" s="1627">
        <v>212</v>
      </c>
      <c r="B219" s="1628" t="s">
        <v>1026</v>
      </c>
      <c r="C219" s="1629" t="s">
        <v>2800</v>
      </c>
      <c r="D219" s="1629" t="s">
        <v>499</v>
      </c>
      <c r="E219" s="1629" t="s">
        <v>788</v>
      </c>
      <c r="F219" s="1627" t="s">
        <v>5098</v>
      </c>
      <c r="G219" s="1627">
        <v>59</v>
      </c>
      <c r="H219" s="1627" t="s">
        <v>4915</v>
      </c>
      <c r="I219" s="1627" t="s">
        <v>980</v>
      </c>
      <c r="J219" s="1627">
        <v>0.8</v>
      </c>
      <c r="K219" s="1641">
        <v>0.84</v>
      </c>
      <c r="L219" s="1629" t="s">
        <v>5012</v>
      </c>
      <c r="M219" s="1631">
        <v>44342</v>
      </c>
    </row>
    <row r="220" spans="1:13" s="1353" customFormat="1" ht="29">
      <c r="A220" s="1627">
        <v>213</v>
      </c>
      <c r="B220" s="1628" t="s">
        <v>1026</v>
      </c>
      <c r="C220" s="1629" t="s">
        <v>2800</v>
      </c>
      <c r="D220" s="1629" t="s">
        <v>499</v>
      </c>
      <c r="E220" s="1629" t="s">
        <v>788</v>
      </c>
      <c r="F220" s="1627" t="s">
        <v>5098</v>
      </c>
      <c r="G220" s="1627">
        <v>59</v>
      </c>
      <c r="H220" s="1627" t="s">
        <v>4915</v>
      </c>
      <c r="I220" s="1627" t="s">
        <v>985</v>
      </c>
      <c r="J220" s="1627">
        <v>0.8</v>
      </c>
      <c r="K220" s="1641">
        <v>0.76</v>
      </c>
      <c r="L220" s="1629" t="s">
        <v>5012</v>
      </c>
      <c r="M220" s="1631">
        <v>44342</v>
      </c>
    </row>
    <row r="221" spans="1:13" s="1353" customFormat="1" ht="29">
      <c r="A221" s="1627">
        <v>214</v>
      </c>
      <c r="B221" s="1628" t="s">
        <v>1026</v>
      </c>
      <c r="C221" s="1629" t="s">
        <v>2800</v>
      </c>
      <c r="D221" s="1629" t="s">
        <v>499</v>
      </c>
      <c r="E221" s="1629" t="s">
        <v>788</v>
      </c>
      <c r="F221" s="1627" t="s">
        <v>5098</v>
      </c>
      <c r="G221" s="1627">
        <v>59</v>
      </c>
      <c r="H221" s="1627" t="s">
        <v>4915</v>
      </c>
      <c r="I221" s="1627" t="s">
        <v>958</v>
      </c>
      <c r="J221" s="1627">
        <v>0.7</v>
      </c>
      <c r="K221" s="1641">
        <v>0.68</v>
      </c>
      <c r="L221" s="1629" t="s">
        <v>5012</v>
      </c>
      <c r="M221" s="1631">
        <v>44342</v>
      </c>
    </row>
    <row r="222" spans="1:13" s="1353" customFormat="1" ht="29">
      <c r="A222" s="1627">
        <v>215</v>
      </c>
      <c r="B222" s="1628" t="s">
        <v>1026</v>
      </c>
      <c r="C222" s="1629" t="s">
        <v>2800</v>
      </c>
      <c r="D222" s="1629" t="s">
        <v>499</v>
      </c>
      <c r="E222" s="1629" t="s">
        <v>788</v>
      </c>
      <c r="F222" s="1627" t="s">
        <v>5098</v>
      </c>
      <c r="G222" s="1627">
        <v>59</v>
      </c>
      <c r="H222" s="1627" t="s">
        <v>4915</v>
      </c>
      <c r="I222" s="1627" t="s">
        <v>970</v>
      </c>
      <c r="J222" s="1627">
        <v>0.3</v>
      </c>
      <c r="K222" s="1641">
        <v>0.32</v>
      </c>
      <c r="L222" s="1629" t="s">
        <v>5012</v>
      </c>
      <c r="M222" s="1631">
        <v>44342</v>
      </c>
    </row>
    <row r="223" spans="1:13" s="1353" customFormat="1" ht="14.5">
      <c r="A223" s="1627">
        <v>216</v>
      </c>
      <c r="B223" s="1628" t="s">
        <v>1012</v>
      </c>
      <c r="C223" s="1629" t="s">
        <v>1153</v>
      </c>
      <c r="D223" s="1629" t="s">
        <v>1124</v>
      </c>
      <c r="E223" s="1629" t="s">
        <v>788</v>
      </c>
      <c r="F223" s="1627" t="s">
        <v>5098</v>
      </c>
      <c r="G223" s="1627">
        <v>90</v>
      </c>
      <c r="H223" s="1627" t="s">
        <v>1858</v>
      </c>
      <c r="I223" s="1627" t="s">
        <v>968</v>
      </c>
      <c r="J223" s="1630" t="s">
        <v>4906</v>
      </c>
      <c r="K223" s="1630">
        <v>-12.7</v>
      </c>
      <c r="L223" s="1629" t="s">
        <v>5111</v>
      </c>
      <c r="M223" s="1631">
        <v>44343</v>
      </c>
    </row>
    <row r="224" spans="1:13" s="1353" customFormat="1" ht="14.5">
      <c r="A224" s="1627">
        <v>217</v>
      </c>
      <c r="B224" s="1628" t="s">
        <v>1012</v>
      </c>
      <c r="C224" s="1629" t="s">
        <v>4441</v>
      </c>
      <c r="D224" s="1629" t="s">
        <v>1124</v>
      </c>
      <c r="E224" s="1629" t="s">
        <v>788</v>
      </c>
      <c r="F224" s="1627" t="s">
        <v>5098</v>
      </c>
      <c r="G224" s="1627">
        <v>90</v>
      </c>
      <c r="H224" s="1627" t="s">
        <v>1858</v>
      </c>
      <c r="I224" s="1627" t="s">
        <v>980</v>
      </c>
      <c r="J224" s="1630" t="s">
        <v>4906</v>
      </c>
      <c r="K224" s="1630">
        <v>-12.7</v>
      </c>
      <c r="L224" s="1629" t="s">
        <v>5111</v>
      </c>
      <c r="M224" s="1631">
        <v>44342</v>
      </c>
    </row>
    <row r="225" spans="1:13" s="1353" customFormat="1" ht="14.5">
      <c r="A225" s="1627">
        <v>218</v>
      </c>
      <c r="B225" s="1628" t="s">
        <v>1012</v>
      </c>
      <c r="C225" s="1629" t="s">
        <v>4446</v>
      </c>
      <c r="D225" s="1629" t="s">
        <v>1124</v>
      </c>
      <c r="E225" s="1629" t="s">
        <v>788</v>
      </c>
      <c r="F225" s="1627" t="s">
        <v>5098</v>
      </c>
      <c r="G225" s="1627">
        <v>90</v>
      </c>
      <c r="H225" s="1627" t="s">
        <v>1858</v>
      </c>
      <c r="I225" s="1627" t="s">
        <v>985</v>
      </c>
      <c r="J225" s="1630" t="s">
        <v>4906</v>
      </c>
      <c r="K225" s="1630">
        <v>-12.7</v>
      </c>
      <c r="L225" s="1629" t="s">
        <v>5111</v>
      </c>
      <c r="M225" s="1631">
        <v>44342</v>
      </c>
    </row>
    <row r="226" spans="1:13" s="1353" customFormat="1" ht="14.5">
      <c r="A226" s="1627">
        <v>219</v>
      </c>
      <c r="B226" s="1628" t="s">
        <v>1012</v>
      </c>
      <c r="C226" s="1629" t="s">
        <v>5112</v>
      </c>
      <c r="D226" s="1629" t="s">
        <v>1124</v>
      </c>
      <c r="E226" s="1629" t="s">
        <v>788</v>
      </c>
      <c r="F226" s="1627" t="s">
        <v>5098</v>
      </c>
      <c r="G226" s="1627">
        <v>90</v>
      </c>
      <c r="H226" s="1627" t="s">
        <v>1858</v>
      </c>
      <c r="I226" s="1627" t="s">
        <v>958</v>
      </c>
      <c r="J226" s="1630" t="s">
        <v>4906</v>
      </c>
      <c r="K226" s="1630">
        <v>-12.7</v>
      </c>
      <c r="L226" s="1629" t="s">
        <v>5111</v>
      </c>
      <c r="M226" s="1631">
        <v>44342</v>
      </c>
    </row>
    <row r="227" spans="1:13" s="1353" customFormat="1" ht="14.5">
      <c r="A227" s="1627">
        <v>220</v>
      </c>
      <c r="B227" s="1628" t="s">
        <v>1012</v>
      </c>
      <c r="C227" s="1629" t="s">
        <v>5113</v>
      </c>
      <c r="D227" s="1629" t="s">
        <v>1124</v>
      </c>
      <c r="E227" s="1629" t="s">
        <v>788</v>
      </c>
      <c r="F227" s="1627" t="s">
        <v>5098</v>
      </c>
      <c r="G227" s="1627">
        <v>90</v>
      </c>
      <c r="H227" s="1627" t="s">
        <v>1858</v>
      </c>
      <c r="I227" s="1627" t="s">
        <v>970</v>
      </c>
      <c r="J227" s="1630" t="s">
        <v>4906</v>
      </c>
      <c r="K227" s="1630">
        <v>-12.7</v>
      </c>
      <c r="L227" s="1629" t="s">
        <v>5111</v>
      </c>
      <c r="M227" s="1631">
        <v>44342</v>
      </c>
    </row>
    <row r="228" spans="1:13" s="1353" customFormat="1" ht="14.5">
      <c r="A228" s="1627">
        <v>221</v>
      </c>
      <c r="B228" s="1628" t="s">
        <v>982</v>
      </c>
      <c r="C228" s="1629" t="s">
        <v>4221</v>
      </c>
      <c r="D228" s="1629" t="s">
        <v>629</v>
      </c>
      <c r="E228" s="1629" t="s">
        <v>788</v>
      </c>
      <c r="F228" s="1627" t="s">
        <v>5098</v>
      </c>
      <c r="G228" s="1627">
        <v>105</v>
      </c>
      <c r="H228" s="1627" t="s">
        <v>1861</v>
      </c>
      <c r="I228" s="1627" t="s">
        <v>968</v>
      </c>
      <c r="J228" s="1630">
        <v>4</v>
      </c>
      <c r="K228" s="1630">
        <v>11.5</v>
      </c>
      <c r="L228" s="1629" t="s">
        <v>5114</v>
      </c>
      <c r="M228" s="1631">
        <v>44344</v>
      </c>
    </row>
    <row r="229" spans="1:13" s="1353" customFormat="1" ht="14.5">
      <c r="A229" s="1627">
        <v>222</v>
      </c>
      <c r="B229" s="1628" t="s">
        <v>982</v>
      </c>
      <c r="C229" s="1629" t="s">
        <v>1128</v>
      </c>
      <c r="D229" s="1629" t="s">
        <v>629</v>
      </c>
      <c r="E229" s="1629" t="s">
        <v>788</v>
      </c>
      <c r="F229" s="1627" t="s">
        <v>5098</v>
      </c>
      <c r="G229" s="1627">
        <v>105</v>
      </c>
      <c r="H229" s="1627" t="s">
        <v>1861</v>
      </c>
      <c r="I229" s="1627" t="s">
        <v>980</v>
      </c>
      <c r="J229" s="1630">
        <v>6.4</v>
      </c>
      <c r="K229" s="1630">
        <v>13.7</v>
      </c>
      <c r="L229" s="1629" t="s">
        <v>5114</v>
      </c>
      <c r="M229" s="1631">
        <v>44344</v>
      </c>
    </row>
    <row r="230" spans="1:13" s="1353" customFormat="1" ht="14.5">
      <c r="A230" s="1627">
        <v>223</v>
      </c>
      <c r="B230" s="1628" t="s">
        <v>982</v>
      </c>
      <c r="C230" s="1629" t="s">
        <v>1130</v>
      </c>
      <c r="D230" s="1629" t="s">
        <v>629</v>
      </c>
      <c r="E230" s="1629" t="s">
        <v>788</v>
      </c>
      <c r="F230" s="1627" t="s">
        <v>5098</v>
      </c>
      <c r="G230" s="1627">
        <v>105</v>
      </c>
      <c r="H230" s="1627" t="s">
        <v>1861</v>
      </c>
      <c r="I230" s="1627" t="s">
        <v>985</v>
      </c>
      <c r="J230" s="1630">
        <v>9.5</v>
      </c>
      <c r="K230" s="1630">
        <v>16.5</v>
      </c>
      <c r="L230" s="1629" t="s">
        <v>5114</v>
      </c>
      <c r="M230" s="1631">
        <v>44344</v>
      </c>
    </row>
    <row r="231" spans="1:13" s="1353" customFormat="1" ht="14.5">
      <c r="A231" s="1627">
        <v>224</v>
      </c>
      <c r="B231" s="1628" t="s">
        <v>982</v>
      </c>
      <c r="C231" s="1629" t="s">
        <v>4230</v>
      </c>
      <c r="D231" s="1629" t="s">
        <v>629</v>
      </c>
      <c r="E231" s="1629" t="s">
        <v>788</v>
      </c>
      <c r="F231" s="1627" t="s">
        <v>5098</v>
      </c>
      <c r="G231" s="1627">
        <v>105</v>
      </c>
      <c r="H231" s="1627" t="s">
        <v>1861</v>
      </c>
      <c r="I231" s="1627" t="s">
        <v>958</v>
      </c>
      <c r="J231" s="1630">
        <v>12.5</v>
      </c>
      <c r="K231" s="1630">
        <v>19.3</v>
      </c>
      <c r="L231" s="1629" t="s">
        <v>5114</v>
      </c>
      <c r="M231" s="1631">
        <v>44344</v>
      </c>
    </row>
    <row r="232" spans="1:13" s="1353" customFormat="1" ht="14.5">
      <c r="A232" s="1627">
        <v>225</v>
      </c>
      <c r="B232" s="1628" t="s">
        <v>982</v>
      </c>
      <c r="C232" s="1629" t="s">
        <v>4234</v>
      </c>
      <c r="D232" s="1629" t="s">
        <v>629</v>
      </c>
      <c r="E232" s="1629" t="s">
        <v>788</v>
      </c>
      <c r="F232" s="1627" t="s">
        <v>5098</v>
      </c>
      <c r="G232" s="1627">
        <v>105</v>
      </c>
      <c r="H232" s="1627" t="s">
        <v>1861</v>
      </c>
      <c r="I232" s="1627" t="s">
        <v>970</v>
      </c>
      <c r="J232" s="1630">
        <v>15.5</v>
      </c>
      <c r="K232" s="1630">
        <v>22.1</v>
      </c>
      <c r="L232" s="1629" t="s">
        <v>5114</v>
      </c>
      <c r="M232" s="1631">
        <v>44344</v>
      </c>
    </row>
    <row r="233" spans="1:13" s="1353" customFormat="1" ht="14.5">
      <c r="A233" s="1627">
        <v>226</v>
      </c>
      <c r="B233" s="1628" t="s">
        <v>1012</v>
      </c>
      <c r="C233" s="1629" t="s">
        <v>4521</v>
      </c>
      <c r="D233" s="1629" t="s">
        <v>689</v>
      </c>
      <c r="E233" s="1629" t="s">
        <v>788</v>
      </c>
      <c r="F233" s="1627" t="s">
        <v>5098</v>
      </c>
      <c r="G233" s="1627">
        <v>118</v>
      </c>
      <c r="H233" s="1627" t="s">
        <v>1910</v>
      </c>
      <c r="I233" s="1627" t="s">
        <v>3996</v>
      </c>
      <c r="J233" s="1630">
        <v>-0.85699999999999998</v>
      </c>
      <c r="K233" s="1630">
        <v>-0.85399999999999998</v>
      </c>
      <c r="L233" s="1629" t="s">
        <v>5115</v>
      </c>
      <c r="M233" s="1631">
        <v>44344</v>
      </c>
    </row>
    <row r="234" spans="1:13" s="1353" customFormat="1" ht="14.5">
      <c r="A234" s="1627">
        <v>227</v>
      </c>
      <c r="B234" s="1642" t="s">
        <v>1012</v>
      </c>
      <c r="C234" s="1643" t="s">
        <v>4521</v>
      </c>
      <c r="D234" s="1643" t="s">
        <v>689</v>
      </c>
      <c r="E234" s="1643" t="s">
        <v>788</v>
      </c>
      <c r="F234" s="1644" t="s">
        <v>5098</v>
      </c>
      <c r="G234" s="1644">
        <v>122</v>
      </c>
      <c r="H234" s="1644" t="s">
        <v>1914</v>
      </c>
      <c r="I234" s="1644" t="s">
        <v>3996</v>
      </c>
      <c r="J234" s="1645">
        <v>0.85699999999999998</v>
      </c>
      <c r="K234" s="1645">
        <v>0.85399999999999998</v>
      </c>
      <c r="L234" s="1643" t="s">
        <v>5115</v>
      </c>
      <c r="M234" s="1646">
        <v>44344</v>
      </c>
    </row>
    <row r="235" spans="1:13" s="1353" customFormat="1" ht="29">
      <c r="A235" s="1647">
        <v>228</v>
      </c>
      <c r="B235" s="1648" t="s">
        <v>982</v>
      </c>
      <c r="C235" s="1648" t="s">
        <v>4183</v>
      </c>
      <c r="D235" s="1648" t="s">
        <v>154</v>
      </c>
      <c r="E235" s="1648" t="s">
        <v>788</v>
      </c>
      <c r="F235" s="1649" t="s">
        <v>5098</v>
      </c>
      <c r="G235" s="1649">
        <v>95</v>
      </c>
      <c r="H235" s="1648" t="s">
        <v>1859</v>
      </c>
      <c r="I235" s="1649" t="s">
        <v>968</v>
      </c>
      <c r="J235" s="1650">
        <v>0</v>
      </c>
      <c r="K235" s="1648"/>
      <c r="L235" s="1651" t="s">
        <v>5116</v>
      </c>
      <c r="M235" s="1652">
        <v>44356</v>
      </c>
    </row>
    <row r="236" spans="1:13" s="1353" customFormat="1" ht="29">
      <c r="A236" s="1647">
        <v>229</v>
      </c>
      <c r="B236" s="1648" t="s">
        <v>982</v>
      </c>
      <c r="C236" s="1648" t="s">
        <v>4183</v>
      </c>
      <c r="D236" s="1648" t="s">
        <v>154</v>
      </c>
      <c r="E236" s="1648" t="s">
        <v>788</v>
      </c>
      <c r="F236" s="1649" t="s">
        <v>5098</v>
      </c>
      <c r="G236" s="1649">
        <v>95</v>
      </c>
      <c r="H236" s="1648" t="s">
        <v>1859</v>
      </c>
      <c r="I236" s="1649" t="s">
        <v>980</v>
      </c>
      <c r="J236" s="1650">
        <v>0</v>
      </c>
      <c r="K236" s="1648"/>
      <c r="L236" s="1651" t="s">
        <v>5116</v>
      </c>
      <c r="M236" s="1652">
        <v>44356</v>
      </c>
    </row>
    <row r="237" spans="1:13" s="1353" customFormat="1" ht="29">
      <c r="A237" s="1647">
        <v>230</v>
      </c>
      <c r="B237" s="1648" t="s">
        <v>982</v>
      </c>
      <c r="C237" s="1648" t="s">
        <v>4183</v>
      </c>
      <c r="D237" s="1648" t="s">
        <v>154</v>
      </c>
      <c r="E237" s="1648" t="s">
        <v>788</v>
      </c>
      <c r="F237" s="1649" t="s">
        <v>5098</v>
      </c>
      <c r="G237" s="1649">
        <v>95</v>
      </c>
      <c r="H237" s="1648" t="s">
        <v>1859</v>
      </c>
      <c r="I237" s="1649" t="s">
        <v>985</v>
      </c>
      <c r="J237" s="1650">
        <v>0</v>
      </c>
      <c r="K237" s="1648"/>
      <c r="L237" s="1651" t="s">
        <v>5116</v>
      </c>
      <c r="M237" s="1652">
        <v>44356</v>
      </c>
    </row>
    <row r="238" spans="1:13" s="1353" customFormat="1" ht="29">
      <c r="A238" s="1647">
        <v>231</v>
      </c>
      <c r="B238" s="1648" t="s">
        <v>982</v>
      </c>
      <c r="C238" s="1648" t="s">
        <v>4183</v>
      </c>
      <c r="D238" s="1648" t="s">
        <v>154</v>
      </c>
      <c r="E238" s="1648" t="s">
        <v>788</v>
      </c>
      <c r="F238" s="1649" t="s">
        <v>5098</v>
      </c>
      <c r="G238" s="1649">
        <v>95</v>
      </c>
      <c r="H238" s="1648" t="s">
        <v>1859</v>
      </c>
      <c r="I238" s="1649" t="s">
        <v>958</v>
      </c>
      <c r="J238" s="1650">
        <v>0</v>
      </c>
      <c r="K238" s="1648"/>
      <c r="L238" s="1651" t="s">
        <v>5116</v>
      </c>
      <c r="M238" s="1652">
        <v>44356</v>
      </c>
    </row>
    <row r="239" spans="1:13" s="1353" customFormat="1" ht="29">
      <c r="A239" s="1647">
        <v>232</v>
      </c>
      <c r="B239" s="1648" t="s">
        <v>982</v>
      </c>
      <c r="C239" s="1648" t="s">
        <v>4183</v>
      </c>
      <c r="D239" s="1648" t="s">
        <v>154</v>
      </c>
      <c r="E239" s="1648" t="s">
        <v>788</v>
      </c>
      <c r="F239" s="1649" t="s">
        <v>5098</v>
      </c>
      <c r="G239" s="1649">
        <v>95</v>
      </c>
      <c r="H239" s="1648" t="s">
        <v>1859</v>
      </c>
      <c r="I239" s="1649" t="s">
        <v>970</v>
      </c>
      <c r="J239" s="1650">
        <v>0</v>
      </c>
      <c r="K239" s="1648"/>
      <c r="L239" s="1651" t="s">
        <v>5116</v>
      </c>
      <c r="M239" s="1652">
        <v>44356</v>
      </c>
    </row>
    <row r="240" spans="1:13" s="1353" customFormat="1" ht="29">
      <c r="A240" s="1647">
        <v>233</v>
      </c>
      <c r="B240" s="1648" t="s">
        <v>982</v>
      </c>
      <c r="C240" s="1648" t="s">
        <v>4183</v>
      </c>
      <c r="D240" s="1648" t="s">
        <v>154</v>
      </c>
      <c r="E240" s="1648" t="s">
        <v>788</v>
      </c>
      <c r="F240" s="1649" t="s">
        <v>5098</v>
      </c>
      <c r="G240" s="1649">
        <v>100</v>
      </c>
      <c r="H240" s="1648" t="s">
        <v>1860</v>
      </c>
      <c r="I240" s="1649" t="s">
        <v>968</v>
      </c>
      <c r="J240" s="1650">
        <v>0</v>
      </c>
      <c r="K240" s="1648"/>
      <c r="L240" s="1651" t="s">
        <v>5116</v>
      </c>
      <c r="M240" s="1652">
        <v>44356</v>
      </c>
    </row>
    <row r="241" spans="1:13" s="1353" customFormat="1" ht="29">
      <c r="A241" s="1647">
        <v>234</v>
      </c>
      <c r="B241" s="1648" t="s">
        <v>982</v>
      </c>
      <c r="C241" s="1648" t="s">
        <v>4183</v>
      </c>
      <c r="D241" s="1648" t="s">
        <v>154</v>
      </c>
      <c r="E241" s="1648" t="s">
        <v>788</v>
      </c>
      <c r="F241" s="1649" t="s">
        <v>5098</v>
      </c>
      <c r="G241" s="1649">
        <v>100</v>
      </c>
      <c r="H241" s="1648" t="s">
        <v>1860</v>
      </c>
      <c r="I241" s="1649" t="s">
        <v>980</v>
      </c>
      <c r="J241" s="1650">
        <v>0</v>
      </c>
      <c r="K241" s="1648"/>
      <c r="L241" s="1651" t="s">
        <v>5116</v>
      </c>
      <c r="M241" s="1652">
        <v>44356</v>
      </c>
    </row>
    <row r="242" spans="1:13" s="1353" customFormat="1" ht="29">
      <c r="A242" s="1647">
        <v>235</v>
      </c>
      <c r="B242" s="1648" t="s">
        <v>982</v>
      </c>
      <c r="C242" s="1648" t="s">
        <v>4183</v>
      </c>
      <c r="D242" s="1648" t="s">
        <v>154</v>
      </c>
      <c r="E242" s="1648" t="s">
        <v>788</v>
      </c>
      <c r="F242" s="1649" t="s">
        <v>5098</v>
      </c>
      <c r="G242" s="1649">
        <v>100</v>
      </c>
      <c r="H242" s="1648" t="s">
        <v>1860</v>
      </c>
      <c r="I242" s="1649" t="s">
        <v>985</v>
      </c>
      <c r="J242" s="1650">
        <v>0</v>
      </c>
      <c r="K242" s="1648"/>
      <c r="L242" s="1651" t="s">
        <v>5116</v>
      </c>
      <c r="M242" s="1652">
        <v>44356</v>
      </c>
    </row>
    <row r="243" spans="1:13" s="1353" customFormat="1" ht="29">
      <c r="A243" s="1647">
        <v>236</v>
      </c>
      <c r="B243" s="1648" t="s">
        <v>982</v>
      </c>
      <c r="C243" s="1648" t="s">
        <v>4183</v>
      </c>
      <c r="D243" s="1648" t="s">
        <v>154</v>
      </c>
      <c r="E243" s="1648" t="s">
        <v>788</v>
      </c>
      <c r="F243" s="1649" t="s">
        <v>5098</v>
      </c>
      <c r="G243" s="1649">
        <v>100</v>
      </c>
      <c r="H243" s="1648" t="s">
        <v>1860</v>
      </c>
      <c r="I243" s="1649" t="s">
        <v>958</v>
      </c>
      <c r="J243" s="1650">
        <v>0</v>
      </c>
      <c r="K243" s="1648"/>
      <c r="L243" s="1651" t="s">
        <v>5116</v>
      </c>
      <c r="M243" s="1652">
        <v>44356</v>
      </c>
    </row>
    <row r="244" spans="1:13" s="1353" customFormat="1" ht="29">
      <c r="A244" s="1647">
        <v>237</v>
      </c>
      <c r="B244" s="1648" t="s">
        <v>982</v>
      </c>
      <c r="C244" s="1648" t="s">
        <v>4183</v>
      </c>
      <c r="D244" s="1648" t="s">
        <v>154</v>
      </c>
      <c r="E244" s="1648" t="s">
        <v>788</v>
      </c>
      <c r="F244" s="1649" t="s">
        <v>5098</v>
      </c>
      <c r="G244" s="1649">
        <v>100</v>
      </c>
      <c r="H244" s="1648" t="s">
        <v>1860</v>
      </c>
      <c r="I244" s="1649" t="s">
        <v>970</v>
      </c>
      <c r="J244" s="1650">
        <v>0</v>
      </c>
      <c r="K244" s="1648"/>
      <c r="L244" s="1651" t="s">
        <v>5116</v>
      </c>
      <c r="M244" s="1652">
        <v>44356</v>
      </c>
    </row>
    <row r="245" spans="1:13" s="1353" customFormat="1" ht="14.5">
      <c r="A245" s="1647">
        <v>238</v>
      </c>
      <c r="B245" s="1648" t="s">
        <v>1026</v>
      </c>
      <c r="C245" s="1648" t="s">
        <v>2737</v>
      </c>
      <c r="D245" s="1648" t="s">
        <v>154</v>
      </c>
      <c r="E245" s="1648" t="s">
        <v>788</v>
      </c>
      <c r="F245" s="1649" t="s">
        <v>5098</v>
      </c>
      <c r="G245" s="1649">
        <v>105</v>
      </c>
      <c r="H245" s="1648" t="s">
        <v>1861</v>
      </c>
      <c r="I245" s="1649" t="s">
        <v>968</v>
      </c>
      <c r="J245" s="1650">
        <v>3.4722222222222225E-3</v>
      </c>
      <c r="K245" s="1650">
        <v>1.9328703703703704E-3</v>
      </c>
      <c r="L245" s="1648" t="s">
        <v>5020</v>
      </c>
      <c r="M245" s="1652">
        <v>44356</v>
      </c>
    </row>
    <row r="246" spans="1:13" s="1353" customFormat="1" ht="14.5">
      <c r="A246" s="1647">
        <v>239</v>
      </c>
      <c r="B246" s="1648" t="s">
        <v>1026</v>
      </c>
      <c r="C246" s="1648" t="s">
        <v>2737</v>
      </c>
      <c r="D246" s="1648" t="s">
        <v>154</v>
      </c>
      <c r="E246" s="1648" t="s">
        <v>788</v>
      </c>
      <c r="F246" s="1649" t="s">
        <v>5098</v>
      </c>
      <c r="G246" s="1649">
        <v>105</v>
      </c>
      <c r="H246" s="1648" t="s">
        <v>1861</v>
      </c>
      <c r="I246" s="1649" t="s">
        <v>980</v>
      </c>
      <c r="J246" s="1650">
        <v>3.2175925925925931E-3</v>
      </c>
      <c r="K246" s="1650">
        <v>1.712962962962963E-3</v>
      </c>
      <c r="L246" s="1648" t="s">
        <v>5020</v>
      </c>
      <c r="M246" s="1652">
        <v>44356</v>
      </c>
    </row>
    <row r="247" spans="1:13" s="1353" customFormat="1" ht="14.5">
      <c r="A247" s="1647">
        <v>240</v>
      </c>
      <c r="B247" s="1648" t="s">
        <v>1026</v>
      </c>
      <c r="C247" s="1648" t="s">
        <v>2737</v>
      </c>
      <c r="D247" s="1648" t="s">
        <v>154</v>
      </c>
      <c r="E247" s="1648" t="s">
        <v>788</v>
      </c>
      <c r="F247" s="1649" t="s">
        <v>5098</v>
      </c>
      <c r="G247" s="1649">
        <v>105</v>
      </c>
      <c r="H247" s="1648" t="s">
        <v>1861</v>
      </c>
      <c r="I247" s="1649" t="s">
        <v>985</v>
      </c>
      <c r="J247" s="1650">
        <v>2.9513888888888897E-3</v>
      </c>
      <c r="K247" s="1650">
        <v>1.5046296296296294E-3</v>
      </c>
      <c r="L247" s="1648" t="s">
        <v>5020</v>
      </c>
      <c r="M247" s="1652">
        <v>44356</v>
      </c>
    </row>
    <row r="248" spans="1:13" s="1353" customFormat="1" ht="14.5">
      <c r="A248" s="1647">
        <v>241</v>
      </c>
      <c r="B248" s="1648" t="s">
        <v>1026</v>
      </c>
      <c r="C248" s="1648" t="s">
        <v>2737</v>
      </c>
      <c r="D248" s="1648" t="s">
        <v>154</v>
      </c>
      <c r="E248" s="1648" t="s">
        <v>788</v>
      </c>
      <c r="F248" s="1649" t="s">
        <v>5098</v>
      </c>
      <c r="G248" s="1649">
        <v>105</v>
      </c>
      <c r="H248" s="1648" t="s">
        <v>1861</v>
      </c>
      <c r="I248" s="1649" t="s">
        <v>958</v>
      </c>
      <c r="J248" s="1650">
        <v>2.6967592592592594E-3</v>
      </c>
      <c r="K248" s="1650">
        <v>1.2962962962962963E-3</v>
      </c>
      <c r="L248" s="1648" t="s">
        <v>5020</v>
      </c>
      <c r="M248" s="1652">
        <v>44356</v>
      </c>
    </row>
    <row r="249" spans="1:13" s="1353" customFormat="1" ht="14.5">
      <c r="A249" s="1647">
        <v>242</v>
      </c>
      <c r="B249" s="1648" t="s">
        <v>1026</v>
      </c>
      <c r="C249" s="1648" t="s">
        <v>2737</v>
      </c>
      <c r="D249" s="1648" t="s">
        <v>154</v>
      </c>
      <c r="E249" s="1648" t="s">
        <v>788</v>
      </c>
      <c r="F249" s="1649" t="s">
        <v>5098</v>
      </c>
      <c r="G249" s="1649">
        <v>105</v>
      </c>
      <c r="H249" s="1648" t="s">
        <v>1861</v>
      </c>
      <c r="I249" s="1649" t="s">
        <v>970</v>
      </c>
      <c r="J249" s="1650">
        <v>2.4305555555555556E-3</v>
      </c>
      <c r="K249" s="1650">
        <v>1.0416666666666667E-3</v>
      </c>
      <c r="L249" s="1648" t="s">
        <v>5020</v>
      </c>
      <c r="M249" s="1652">
        <v>44356</v>
      </c>
    </row>
    <row r="250" spans="1:13" s="1353" customFormat="1" ht="14.5">
      <c r="A250" s="1647">
        <v>243</v>
      </c>
      <c r="B250" s="1653" t="s">
        <v>972</v>
      </c>
      <c r="C250" s="1654" t="s">
        <v>2085</v>
      </c>
      <c r="D250" s="1654" t="s">
        <v>687</v>
      </c>
      <c r="E250" s="1648" t="s">
        <v>788</v>
      </c>
      <c r="F250" s="1649" t="s">
        <v>5098</v>
      </c>
      <c r="G250" s="1647">
        <v>105</v>
      </c>
      <c r="H250" s="1648" t="s">
        <v>1861</v>
      </c>
      <c r="I250" s="1649" t="s">
        <v>968</v>
      </c>
      <c r="J250" s="1655">
        <v>1.62</v>
      </c>
      <c r="K250" s="1655">
        <v>1.35</v>
      </c>
      <c r="L250" s="1654" t="s">
        <v>5011</v>
      </c>
      <c r="M250" s="1652">
        <v>44356</v>
      </c>
    </row>
    <row r="251" spans="1:13" s="1353" customFormat="1" ht="14.5">
      <c r="A251" s="1647">
        <v>244</v>
      </c>
      <c r="B251" s="1653" t="s">
        <v>972</v>
      </c>
      <c r="C251" s="1654" t="s">
        <v>2085</v>
      </c>
      <c r="D251" s="1654" t="s">
        <v>687</v>
      </c>
      <c r="E251" s="1648" t="s">
        <v>788</v>
      </c>
      <c r="F251" s="1649" t="s">
        <v>5098</v>
      </c>
      <c r="G251" s="1647">
        <v>105</v>
      </c>
      <c r="H251" s="1648" t="s">
        <v>1861</v>
      </c>
      <c r="I251" s="1649" t="s">
        <v>980</v>
      </c>
      <c r="J251" s="1655">
        <v>1.52</v>
      </c>
      <c r="K251" s="1655">
        <v>1.3</v>
      </c>
      <c r="L251" s="1654" t="s">
        <v>5011</v>
      </c>
      <c r="M251" s="1652">
        <v>44356</v>
      </c>
    </row>
    <row r="252" spans="1:13" s="1353" customFormat="1" ht="14.5">
      <c r="A252" s="1647">
        <v>245</v>
      </c>
      <c r="B252" s="1653" t="s">
        <v>972</v>
      </c>
      <c r="C252" s="1654" t="s">
        <v>2085</v>
      </c>
      <c r="D252" s="1654" t="s">
        <v>687</v>
      </c>
      <c r="E252" s="1648" t="s">
        <v>788</v>
      </c>
      <c r="F252" s="1649" t="s">
        <v>5098</v>
      </c>
      <c r="G252" s="1647">
        <v>105</v>
      </c>
      <c r="H252" s="1648" t="s">
        <v>1861</v>
      </c>
      <c r="I252" s="1649" t="s">
        <v>985</v>
      </c>
      <c r="J252" s="1655">
        <v>1.43</v>
      </c>
      <c r="K252" s="1655">
        <v>1.25</v>
      </c>
      <c r="L252" s="1654" t="s">
        <v>5011</v>
      </c>
      <c r="M252" s="1652">
        <v>44356</v>
      </c>
    </row>
    <row r="253" spans="1:13" s="1353" customFormat="1" ht="14.5">
      <c r="A253" s="1647">
        <v>246</v>
      </c>
      <c r="B253" s="1653" t="s">
        <v>972</v>
      </c>
      <c r="C253" s="1654" t="s">
        <v>2085</v>
      </c>
      <c r="D253" s="1654" t="s">
        <v>687</v>
      </c>
      <c r="E253" s="1648" t="s">
        <v>788</v>
      </c>
      <c r="F253" s="1649" t="s">
        <v>5098</v>
      </c>
      <c r="G253" s="1647">
        <v>105</v>
      </c>
      <c r="H253" s="1648" t="s">
        <v>1861</v>
      </c>
      <c r="I253" s="1649" t="s">
        <v>958</v>
      </c>
      <c r="J253" s="1655">
        <v>1.23</v>
      </c>
      <c r="K253" s="1655">
        <v>1.1100000000000001</v>
      </c>
      <c r="L253" s="1654" t="s">
        <v>5011</v>
      </c>
      <c r="M253" s="1652">
        <v>44356</v>
      </c>
    </row>
    <row r="254" spans="1:13" s="1353" customFormat="1" ht="14.5">
      <c r="A254" s="1647">
        <v>247</v>
      </c>
      <c r="B254" s="1653" t="s">
        <v>972</v>
      </c>
      <c r="C254" s="1654" t="s">
        <v>2085</v>
      </c>
      <c r="D254" s="1654" t="s">
        <v>687</v>
      </c>
      <c r="E254" s="1648" t="s">
        <v>788</v>
      </c>
      <c r="F254" s="1649" t="s">
        <v>5098</v>
      </c>
      <c r="G254" s="1647">
        <v>105</v>
      </c>
      <c r="H254" s="1648" t="s">
        <v>1861</v>
      </c>
      <c r="I254" s="1649" t="s">
        <v>970</v>
      </c>
      <c r="J254" s="1655">
        <v>1.07</v>
      </c>
      <c r="K254" s="1655">
        <v>1.01</v>
      </c>
      <c r="L254" s="1654" t="s">
        <v>5011</v>
      </c>
      <c r="M254" s="1652">
        <v>44356</v>
      </c>
    </row>
    <row r="255" spans="1:13" s="1353" customFormat="1" ht="14.5">
      <c r="A255" s="1647">
        <v>248</v>
      </c>
      <c r="B255" s="1653" t="s">
        <v>972</v>
      </c>
      <c r="C255" s="1654" t="s">
        <v>2089</v>
      </c>
      <c r="D255" s="1654" t="s">
        <v>689</v>
      </c>
      <c r="E255" s="1648" t="s">
        <v>788</v>
      </c>
      <c r="F255" s="1649" t="s">
        <v>5098</v>
      </c>
      <c r="G255" s="1647">
        <v>105</v>
      </c>
      <c r="H255" s="1648" t="s">
        <v>1861</v>
      </c>
      <c r="I255" s="1649" t="s">
        <v>968</v>
      </c>
      <c r="J255" s="1655">
        <v>17</v>
      </c>
      <c r="K255" s="1655">
        <v>9.51</v>
      </c>
      <c r="L255" s="1654" t="s">
        <v>5011</v>
      </c>
      <c r="M255" s="1652">
        <v>44356</v>
      </c>
    </row>
    <row r="256" spans="1:13" s="1353" customFormat="1" ht="14.5">
      <c r="A256" s="1647">
        <v>249</v>
      </c>
      <c r="B256" s="1653" t="s">
        <v>972</v>
      </c>
      <c r="C256" s="1654" t="s">
        <v>2089</v>
      </c>
      <c r="D256" s="1654" t="s">
        <v>689</v>
      </c>
      <c r="E256" s="1648" t="s">
        <v>788</v>
      </c>
      <c r="F256" s="1649" t="s">
        <v>5098</v>
      </c>
      <c r="G256" s="1647">
        <v>105</v>
      </c>
      <c r="H256" s="1648" t="s">
        <v>1861</v>
      </c>
      <c r="I256" s="1649" t="s">
        <v>980</v>
      </c>
      <c r="J256" s="1655">
        <v>16.5</v>
      </c>
      <c r="K256" s="1655">
        <v>8.74</v>
      </c>
      <c r="L256" s="1654" t="s">
        <v>5011</v>
      </c>
      <c r="M256" s="1652">
        <v>44356</v>
      </c>
    </row>
    <row r="257" spans="1:13" s="1353" customFormat="1" ht="14.5">
      <c r="A257" s="1647">
        <v>250</v>
      </c>
      <c r="B257" s="1653" t="s">
        <v>972</v>
      </c>
      <c r="C257" s="1654" t="s">
        <v>2089</v>
      </c>
      <c r="D257" s="1654" t="s">
        <v>689</v>
      </c>
      <c r="E257" s="1648" t="s">
        <v>788</v>
      </c>
      <c r="F257" s="1649" t="s">
        <v>5098</v>
      </c>
      <c r="G257" s="1647">
        <v>105</v>
      </c>
      <c r="H257" s="1648" t="s">
        <v>1861</v>
      </c>
      <c r="I257" s="1649" t="s">
        <v>985</v>
      </c>
      <c r="J257" s="1655">
        <v>16</v>
      </c>
      <c r="K257" s="1655">
        <v>8</v>
      </c>
      <c r="L257" s="1654" t="s">
        <v>5011</v>
      </c>
      <c r="M257" s="1652">
        <v>44356</v>
      </c>
    </row>
    <row r="258" spans="1:13" s="1353" customFormat="1" ht="14.5">
      <c r="A258" s="1647">
        <v>251</v>
      </c>
      <c r="B258" s="1653" t="s">
        <v>972</v>
      </c>
      <c r="C258" s="1654" t="s">
        <v>2089</v>
      </c>
      <c r="D258" s="1654" t="s">
        <v>689</v>
      </c>
      <c r="E258" s="1648" t="s">
        <v>788</v>
      </c>
      <c r="F258" s="1649" t="s">
        <v>5098</v>
      </c>
      <c r="G258" s="1647">
        <v>105</v>
      </c>
      <c r="H258" s="1648" t="s">
        <v>1861</v>
      </c>
      <c r="I258" s="1649" t="s">
        <v>958</v>
      </c>
      <c r="J258" s="1655">
        <v>15.5</v>
      </c>
      <c r="K258" s="1655">
        <v>7.4</v>
      </c>
      <c r="L258" s="1654" t="s">
        <v>5011</v>
      </c>
      <c r="M258" s="1652">
        <v>44356</v>
      </c>
    </row>
    <row r="259" spans="1:13" s="1353" customFormat="1" ht="14.5">
      <c r="A259" s="1647">
        <v>252</v>
      </c>
      <c r="B259" s="1653" t="s">
        <v>972</v>
      </c>
      <c r="C259" s="1654" t="s">
        <v>2089</v>
      </c>
      <c r="D259" s="1654" t="s">
        <v>689</v>
      </c>
      <c r="E259" s="1648" t="s">
        <v>788</v>
      </c>
      <c r="F259" s="1649" t="s">
        <v>5098</v>
      </c>
      <c r="G259" s="1647">
        <v>105</v>
      </c>
      <c r="H259" s="1648" t="s">
        <v>1861</v>
      </c>
      <c r="I259" s="1649" t="s">
        <v>970</v>
      </c>
      <c r="J259" s="1655">
        <v>15</v>
      </c>
      <c r="K259" s="1655">
        <v>4.5</v>
      </c>
      <c r="L259" s="1654" t="s">
        <v>5011</v>
      </c>
      <c r="M259" s="1652">
        <v>44356</v>
      </c>
    </row>
    <row r="260" spans="1:13" s="1353" customFormat="1" ht="14.5">
      <c r="A260" s="1647">
        <v>253</v>
      </c>
      <c r="B260" s="1653" t="s">
        <v>972</v>
      </c>
      <c r="C260" s="1648" t="s">
        <v>2078</v>
      </c>
      <c r="D260" s="1654" t="s">
        <v>629</v>
      </c>
      <c r="E260" s="1648" t="s">
        <v>788</v>
      </c>
      <c r="F260" s="1649" t="s">
        <v>5098</v>
      </c>
      <c r="G260" s="1647">
        <v>105</v>
      </c>
      <c r="H260" s="1648" t="s">
        <v>1861</v>
      </c>
      <c r="I260" s="1647" t="s">
        <v>968</v>
      </c>
      <c r="J260" s="1647">
        <v>6.6</v>
      </c>
      <c r="K260" s="1647" t="s">
        <v>4797</v>
      </c>
      <c r="L260" s="1654" t="s">
        <v>5024</v>
      </c>
      <c r="M260" s="1652">
        <v>44356</v>
      </c>
    </row>
    <row r="261" spans="1:13" s="1353" customFormat="1" ht="14.5">
      <c r="A261" s="1647">
        <v>254</v>
      </c>
      <c r="B261" s="1653" t="s">
        <v>972</v>
      </c>
      <c r="C261" s="1648" t="s">
        <v>2078</v>
      </c>
      <c r="D261" s="1654" t="s">
        <v>629</v>
      </c>
      <c r="E261" s="1648" t="s">
        <v>788</v>
      </c>
      <c r="F261" s="1649" t="s">
        <v>5098</v>
      </c>
      <c r="G261" s="1647">
        <v>105</v>
      </c>
      <c r="H261" s="1648" t="s">
        <v>1861</v>
      </c>
      <c r="I261" s="1647" t="s">
        <v>980</v>
      </c>
      <c r="J261" s="1647">
        <v>8.1999999999999993</v>
      </c>
      <c r="K261" s="1647" t="s">
        <v>4797</v>
      </c>
      <c r="L261" s="1654" t="s">
        <v>5024</v>
      </c>
      <c r="M261" s="1652">
        <v>44356</v>
      </c>
    </row>
    <row r="262" spans="1:13" s="1353" customFormat="1" ht="14.5">
      <c r="A262" s="1647">
        <v>255</v>
      </c>
      <c r="B262" s="1653" t="s">
        <v>972</v>
      </c>
      <c r="C262" s="1648" t="s">
        <v>2078</v>
      </c>
      <c r="D262" s="1654" t="s">
        <v>629</v>
      </c>
      <c r="E262" s="1648" t="s">
        <v>788</v>
      </c>
      <c r="F262" s="1649" t="s">
        <v>5098</v>
      </c>
      <c r="G262" s="1647">
        <v>105</v>
      </c>
      <c r="H262" s="1648" t="s">
        <v>1861</v>
      </c>
      <c r="I262" s="1647" t="s">
        <v>985</v>
      </c>
      <c r="J262" s="1647">
        <v>11.1</v>
      </c>
      <c r="K262" s="1647" t="s">
        <v>4797</v>
      </c>
      <c r="L262" s="1654" t="s">
        <v>5024</v>
      </c>
      <c r="M262" s="1652">
        <v>44356</v>
      </c>
    </row>
    <row r="263" spans="1:13" s="1353" customFormat="1" ht="14.5">
      <c r="A263" s="1647">
        <v>256</v>
      </c>
      <c r="B263" s="1653" t="s">
        <v>972</v>
      </c>
      <c r="C263" s="1648" t="s">
        <v>2078</v>
      </c>
      <c r="D263" s="1654" t="s">
        <v>629</v>
      </c>
      <c r="E263" s="1648" t="s">
        <v>788</v>
      </c>
      <c r="F263" s="1649" t="s">
        <v>5098</v>
      </c>
      <c r="G263" s="1647">
        <v>105</v>
      </c>
      <c r="H263" s="1648" t="s">
        <v>1861</v>
      </c>
      <c r="I263" s="1647" t="s">
        <v>958</v>
      </c>
      <c r="J263" s="1647">
        <v>14.9</v>
      </c>
      <c r="K263" s="1647" t="s">
        <v>4797</v>
      </c>
      <c r="L263" s="1654" t="s">
        <v>5024</v>
      </c>
      <c r="M263" s="1652">
        <v>44356</v>
      </c>
    </row>
    <row r="264" spans="1:13" s="1353" customFormat="1" ht="14.5">
      <c r="A264" s="1647">
        <v>257</v>
      </c>
      <c r="B264" s="1653" t="s">
        <v>972</v>
      </c>
      <c r="C264" s="1648" t="s">
        <v>2078</v>
      </c>
      <c r="D264" s="1654" t="s">
        <v>629</v>
      </c>
      <c r="E264" s="1648" t="s">
        <v>788</v>
      </c>
      <c r="F264" s="1649" t="s">
        <v>5098</v>
      </c>
      <c r="G264" s="1647">
        <v>105</v>
      </c>
      <c r="H264" s="1648" t="s">
        <v>1861</v>
      </c>
      <c r="I264" s="1647" t="s">
        <v>970</v>
      </c>
      <c r="J264" s="1647">
        <v>18.7</v>
      </c>
      <c r="K264" s="1647" t="s">
        <v>4797</v>
      </c>
      <c r="L264" s="1654" t="s">
        <v>5024</v>
      </c>
      <c r="M264" s="1652">
        <v>44356</v>
      </c>
    </row>
    <row r="265" spans="1:13" s="1353" customFormat="1" ht="14.5">
      <c r="A265" s="1647">
        <v>258</v>
      </c>
      <c r="B265" s="1656" t="s">
        <v>1008</v>
      </c>
      <c r="C265" s="1657" t="s">
        <v>4011</v>
      </c>
      <c r="D265" s="1658" t="s">
        <v>178</v>
      </c>
      <c r="E265" s="1658" t="s">
        <v>788</v>
      </c>
      <c r="F265" s="1649" t="s">
        <v>5098</v>
      </c>
      <c r="G265" s="1659">
        <v>105</v>
      </c>
      <c r="H265" s="1648" t="s">
        <v>1861</v>
      </c>
      <c r="I265" s="1659" t="s">
        <v>980</v>
      </c>
      <c r="J265" s="1659">
        <v>88.2</v>
      </c>
      <c r="K265" s="1659">
        <v>88.3</v>
      </c>
      <c r="L265" s="1658" t="s">
        <v>5020</v>
      </c>
      <c r="M265" s="1660">
        <v>44358</v>
      </c>
    </row>
    <row r="266" spans="1:13" s="1353" customFormat="1" ht="14.5">
      <c r="A266" s="1647">
        <v>259</v>
      </c>
      <c r="B266" s="1656" t="s">
        <v>1033</v>
      </c>
      <c r="C266" s="1648" t="s">
        <v>2946</v>
      </c>
      <c r="D266" s="1648" t="s">
        <v>154</v>
      </c>
      <c r="E266" s="1648" t="s">
        <v>788</v>
      </c>
      <c r="F266" s="1649" t="s">
        <v>5098</v>
      </c>
      <c r="G266" s="1647">
        <v>105</v>
      </c>
      <c r="H266" s="1648" t="s">
        <v>1861</v>
      </c>
      <c r="I266" s="1647" t="s">
        <v>968</v>
      </c>
      <c r="J266" s="1650">
        <v>4.0972222222222226E-3</v>
      </c>
      <c r="K266" s="1650">
        <v>3.2291666666666666E-3</v>
      </c>
      <c r="L266" s="1658" t="s">
        <v>5020</v>
      </c>
      <c r="M266" s="1660">
        <v>44358</v>
      </c>
    </row>
    <row r="267" spans="1:13" s="1353" customFormat="1" ht="14.5">
      <c r="A267" s="1647">
        <v>260</v>
      </c>
      <c r="B267" s="1656" t="s">
        <v>1033</v>
      </c>
      <c r="C267" s="1648" t="s">
        <v>2946</v>
      </c>
      <c r="D267" s="1648" t="s">
        <v>154</v>
      </c>
      <c r="E267" s="1658" t="s">
        <v>788</v>
      </c>
      <c r="F267" s="1649" t="s">
        <v>5098</v>
      </c>
      <c r="G267" s="1659">
        <v>105</v>
      </c>
      <c r="H267" s="1648" t="s">
        <v>1861</v>
      </c>
      <c r="I267" s="1647" t="s">
        <v>980</v>
      </c>
      <c r="J267" s="1650">
        <v>3.8425925925925932E-3</v>
      </c>
      <c r="K267" s="1650">
        <v>2.8240740740740739E-3</v>
      </c>
      <c r="L267" s="1658" t="s">
        <v>5020</v>
      </c>
      <c r="M267" s="1660">
        <v>44358</v>
      </c>
    </row>
    <row r="268" spans="1:13" s="1353" customFormat="1" ht="14.5">
      <c r="A268" s="1647">
        <v>261</v>
      </c>
      <c r="B268" s="1656" t="s">
        <v>1033</v>
      </c>
      <c r="C268" s="1648" t="s">
        <v>2946</v>
      </c>
      <c r="D268" s="1648" t="s">
        <v>154</v>
      </c>
      <c r="E268" s="1648" t="s">
        <v>788</v>
      </c>
      <c r="F268" s="1649" t="s">
        <v>5098</v>
      </c>
      <c r="G268" s="1647">
        <v>105</v>
      </c>
      <c r="H268" s="1648" t="s">
        <v>1861</v>
      </c>
      <c r="I268" s="1647" t="s">
        <v>985</v>
      </c>
      <c r="J268" s="1650">
        <v>3.5763888888888898E-3</v>
      </c>
      <c r="K268" s="1650">
        <v>2.4421296296296296E-3</v>
      </c>
      <c r="L268" s="1658" t="s">
        <v>5020</v>
      </c>
      <c r="M268" s="1660">
        <v>44358</v>
      </c>
    </row>
    <row r="269" spans="1:13" s="1353" customFormat="1" ht="14.5">
      <c r="A269" s="1647">
        <v>262</v>
      </c>
      <c r="B269" s="1656" t="s">
        <v>1033</v>
      </c>
      <c r="C269" s="1648" t="s">
        <v>2946</v>
      </c>
      <c r="D269" s="1648" t="s">
        <v>154</v>
      </c>
      <c r="E269" s="1658" t="s">
        <v>788</v>
      </c>
      <c r="F269" s="1649" t="s">
        <v>5098</v>
      </c>
      <c r="G269" s="1659">
        <v>105</v>
      </c>
      <c r="H269" s="1648" t="s">
        <v>1861</v>
      </c>
      <c r="I269" s="1647" t="s">
        <v>958</v>
      </c>
      <c r="J269" s="1650">
        <v>3.3217592592592595E-3</v>
      </c>
      <c r="K269" s="1650">
        <v>2.0601851851851853E-3</v>
      </c>
      <c r="L269" s="1658" t="s">
        <v>5020</v>
      </c>
      <c r="M269" s="1660">
        <v>44358</v>
      </c>
    </row>
    <row r="270" spans="1:13" s="1353" customFormat="1" ht="14.5">
      <c r="A270" s="1647">
        <v>263</v>
      </c>
      <c r="B270" s="1656" t="s">
        <v>1033</v>
      </c>
      <c r="C270" s="1648" t="s">
        <v>2946</v>
      </c>
      <c r="D270" s="1648" t="s">
        <v>154</v>
      </c>
      <c r="E270" s="1648" t="s">
        <v>788</v>
      </c>
      <c r="F270" s="1649" t="s">
        <v>5098</v>
      </c>
      <c r="G270" s="1647">
        <v>105</v>
      </c>
      <c r="H270" s="1648" t="s">
        <v>1861</v>
      </c>
      <c r="I270" s="1647" t="s">
        <v>970</v>
      </c>
      <c r="J270" s="1650">
        <v>3.0555555555555553E-3</v>
      </c>
      <c r="K270" s="1650">
        <v>1.6666666666666668E-3</v>
      </c>
      <c r="L270" s="1658" t="s">
        <v>5020</v>
      </c>
      <c r="M270" s="1660">
        <v>44358</v>
      </c>
    </row>
    <row r="271" spans="1:13" s="1353" customFormat="1" ht="14.5">
      <c r="A271" s="1647">
        <v>264</v>
      </c>
      <c r="B271" s="1648" t="s">
        <v>972</v>
      </c>
      <c r="C271" s="1648" t="s">
        <v>2075</v>
      </c>
      <c r="D271" s="1648" t="s">
        <v>154</v>
      </c>
      <c r="E271" s="1648" t="s">
        <v>788</v>
      </c>
      <c r="F271" s="1649" t="s">
        <v>5098</v>
      </c>
      <c r="G271" s="1649">
        <v>95</v>
      </c>
      <c r="H271" s="1648" t="s">
        <v>5117</v>
      </c>
      <c r="I271" s="1649" t="s">
        <v>968</v>
      </c>
      <c r="J271" s="1650">
        <v>0</v>
      </c>
      <c r="K271" s="1648"/>
      <c r="L271" s="1648" t="s">
        <v>5116</v>
      </c>
      <c r="M271" s="1652">
        <v>44358</v>
      </c>
    </row>
    <row r="272" spans="1:13" s="1353" customFormat="1" ht="14.5">
      <c r="A272" s="1647">
        <v>265</v>
      </c>
      <c r="B272" s="1648" t="s">
        <v>972</v>
      </c>
      <c r="C272" s="1648" t="s">
        <v>2075</v>
      </c>
      <c r="D272" s="1648" t="s">
        <v>154</v>
      </c>
      <c r="E272" s="1648" t="s">
        <v>788</v>
      </c>
      <c r="F272" s="1649" t="s">
        <v>5098</v>
      </c>
      <c r="G272" s="1649">
        <v>95</v>
      </c>
      <c r="H272" s="1648" t="s">
        <v>5117</v>
      </c>
      <c r="I272" s="1649" t="s">
        <v>980</v>
      </c>
      <c r="J272" s="1650">
        <v>0</v>
      </c>
      <c r="K272" s="1648"/>
      <c r="L272" s="1648" t="s">
        <v>5116</v>
      </c>
      <c r="M272" s="1652">
        <v>44358</v>
      </c>
    </row>
    <row r="273" spans="1:13" s="1353" customFormat="1" ht="14.5">
      <c r="A273" s="1647">
        <v>266</v>
      </c>
      <c r="B273" s="1648" t="s">
        <v>972</v>
      </c>
      <c r="C273" s="1648" t="s">
        <v>2075</v>
      </c>
      <c r="D273" s="1648" t="s">
        <v>154</v>
      </c>
      <c r="E273" s="1648" t="s">
        <v>788</v>
      </c>
      <c r="F273" s="1649" t="s">
        <v>5098</v>
      </c>
      <c r="G273" s="1649">
        <v>95</v>
      </c>
      <c r="H273" s="1648" t="s">
        <v>5117</v>
      </c>
      <c r="I273" s="1649" t="s">
        <v>985</v>
      </c>
      <c r="J273" s="1650">
        <v>0</v>
      </c>
      <c r="K273" s="1648"/>
      <c r="L273" s="1648" t="s">
        <v>5116</v>
      </c>
      <c r="M273" s="1652">
        <v>44358</v>
      </c>
    </row>
    <row r="274" spans="1:13" s="1353" customFormat="1" ht="14.5">
      <c r="A274" s="1647">
        <v>267</v>
      </c>
      <c r="B274" s="1648" t="s">
        <v>972</v>
      </c>
      <c r="C274" s="1648" t="s">
        <v>2075</v>
      </c>
      <c r="D274" s="1648" t="s">
        <v>154</v>
      </c>
      <c r="E274" s="1648" t="s">
        <v>788</v>
      </c>
      <c r="F274" s="1649" t="s">
        <v>5098</v>
      </c>
      <c r="G274" s="1649">
        <v>95</v>
      </c>
      <c r="H274" s="1648" t="s">
        <v>5117</v>
      </c>
      <c r="I274" s="1649" t="s">
        <v>958</v>
      </c>
      <c r="J274" s="1650">
        <v>0</v>
      </c>
      <c r="K274" s="1648"/>
      <c r="L274" s="1648" t="s">
        <v>5116</v>
      </c>
      <c r="M274" s="1652">
        <v>44358</v>
      </c>
    </row>
    <row r="275" spans="1:13" s="1353" customFormat="1" ht="14.5">
      <c r="A275" s="1647">
        <v>268</v>
      </c>
      <c r="B275" s="1648" t="s">
        <v>972</v>
      </c>
      <c r="C275" s="1648" t="s">
        <v>2075</v>
      </c>
      <c r="D275" s="1648" t="s">
        <v>154</v>
      </c>
      <c r="E275" s="1648" t="s">
        <v>788</v>
      </c>
      <c r="F275" s="1649" t="s">
        <v>5098</v>
      </c>
      <c r="G275" s="1649">
        <v>95</v>
      </c>
      <c r="H275" s="1648" t="s">
        <v>5117</v>
      </c>
      <c r="I275" s="1649" t="s">
        <v>970</v>
      </c>
      <c r="J275" s="1650">
        <v>0</v>
      </c>
      <c r="K275" s="1648"/>
      <c r="L275" s="1648" t="s">
        <v>5116</v>
      </c>
      <c r="M275" s="1652">
        <v>44358</v>
      </c>
    </row>
    <row r="276" spans="1:13" s="1353" customFormat="1" ht="14.5">
      <c r="A276" s="1647">
        <v>269</v>
      </c>
      <c r="B276" s="1648" t="s">
        <v>972</v>
      </c>
      <c r="C276" s="1648" t="s">
        <v>2075</v>
      </c>
      <c r="D276" s="1648" t="s">
        <v>154</v>
      </c>
      <c r="E276" s="1648" t="s">
        <v>788</v>
      </c>
      <c r="F276" s="1649" t="s">
        <v>5098</v>
      </c>
      <c r="G276" s="1649">
        <v>100</v>
      </c>
      <c r="H276" s="1648" t="s">
        <v>1860</v>
      </c>
      <c r="I276" s="1649" t="s">
        <v>968</v>
      </c>
      <c r="J276" s="1650">
        <v>0</v>
      </c>
      <c r="K276" s="1648"/>
      <c r="L276" s="1648" t="s">
        <v>5116</v>
      </c>
      <c r="M276" s="1652">
        <v>44358</v>
      </c>
    </row>
    <row r="277" spans="1:13" s="1353" customFormat="1" ht="14.5">
      <c r="A277" s="1647">
        <v>270</v>
      </c>
      <c r="B277" s="1648" t="s">
        <v>972</v>
      </c>
      <c r="C277" s="1648" t="s">
        <v>2075</v>
      </c>
      <c r="D277" s="1648" t="s">
        <v>154</v>
      </c>
      <c r="E277" s="1648" t="s">
        <v>788</v>
      </c>
      <c r="F277" s="1649" t="s">
        <v>5098</v>
      </c>
      <c r="G277" s="1649">
        <v>100</v>
      </c>
      <c r="H277" s="1648" t="s">
        <v>1860</v>
      </c>
      <c r="I277" s="1649" t="s">
        <v>980</v>
      </c>
      <c r="J277" s="1650">
        <v>0</v>
      </c>
      <c r="K277" s="1648"/>
      <c r="L277" s="1648" t="s">
        <v>5116</v>
      </c>
      <c r="M277" s="1652">
        <v>44358</v>
      </c>
    </row>
    <row r="278" spans="1:13" s="1353" customFormat="1" ht="14.5">
      <c r="A278" s="1647">
        <v>271</v>
      </c>
      <c r="B278" s="1648" t="s">
        <v>972</v>
      </c>
      <c r="C278" s="1648" t="s">
        <v>2075</v>
      </c>
      <c r="D278" s="1648" t="s">
        <v>154</v>
      </c>
      <c r="E278" s="1648" t="s">
        <v>788</v>
      </c>
      <c r="F278" s="1649" t="s">
        <v>5098</v>
      </c>
      <c r="G278" s="1649">
        <v>100</v>
      </c>
      <c r="H278" s="1648" t="s">
        <v>1860</v>
      </c>
      <c r="I278" s="1649" t="s">
        <v>985</v>
      </c>
      <c r="J278" s="1650">
        <v>0</v>
      </c>
      <c r="K278" s="1648"/>
      <c r="L278" s="1648" t="s">
        <v>5116</v>
      </c>
      <c r="M278" s="1652">
        <v>44358</v>
      </c>
    </row>
    <row r="279" spans="1:13" s="1353" customFormat="1" ht="14.5">
      <c r="A279" s="1647">
        <v>272</v>
      </c>
      <c r="B279" s="1648" t="s">
        <v>972</v>
      </c>
      <c r="C279" s="1648" t="s">
        <v>2075</v>
      </c>
      <c r="D279" s="1648" t="s">
        <v>154</v>
      </c>
      <c r="E279" s="1648" t="s">
        <v>788</v>
      </c>
      <c r="F279" s="1649" t="s">
        <v>5098</v>
      </c>
      <c r="G279" s="1649">
        <v>100</v>
      </c>
      <c r="H279" s="1648" t="s">
        <v>1860</v>
      </c>
      <c r="I279" s="1649" t="s">
        <v>958</v>
      </c>
      <c r="J279" s="1650">
        <v>0</v>
      </c>
      <c r="K279" s="1648"/>
      <c r="L279" s="1648" t="s">
        <v>5116</v>
      </c>
      <c r="M279" s="1652">
        <v>44358</v>
      </c>
    </row>
    <row r="280" spans="1:13" s="1353" customFormat="1" ht="14.5">
      <c r="A280" s="1647">
        <v>273</v>
      </c>
      <c r="B280" s="1648" t="s">
        <v>972</v>
      </c>
      <c r="C280" s="1648" t="s">
        <v>2075</v>
      </c>
      <c r="D280" s="1648" t="s">
        <v>154</v>
      </c>
      <c r="E280" s="1648" t="s">
        <v>788</v>
      </c>
      <c r="F280" s="1649" t="s">
        <v>5098</v>
      </c>
      <c r="G280" s="1649">
        <v>100</v>
      </c>
      <c r="H280" s="1648" t="s">
        <v>1860</v>
      </c>
      <c r="I280" s="1649" t="s">
        <v>970</v>
      </c>
      <c r="J280" s="1650">
        <v>0</v>
      </c>
      <c r="K280" s="1648"/>
      <c r="L280" s="1648" t="s">
        <v>5116</v>
      </c>
      <c r="M280" s="1652">
        <v>44358</v>
      </c>
    </row>
    <row r="281" spans="1:13" s="1353" customFormat="1" ht="14.5">
      <c r="A281" s="1647">
        <v>274</v>
      </c>
      <c r="B281" s="1648" t="s">
        <v>1022</v>
      </c>
      <c r="C281" s="1648" t="s">
        <v>2228</v>
      </c>
      <c r="D281" s="1648" t="s">
        <v>154</v>
      </c>
      <c r="E281" s="1648" t="s">
        <v>788</v>
      </c>
      <c r="F281" s="1649" t="s">
        <v>5098</v>
      </c>
      <c r="G281" s="1649">
        <v>95</v>
      </c>
      <c r="H281" s="1648" t="s">
        <v>5117</v>
      </c>
      <c r="I281" s="1649" t="s">
        <v>968</v>
      </c>
      <c r="J281" s="1650">
        <v>0</v>
      </c>
      <c r="K281" s="1648"/>
      <c r="L281" s="1648" t="s">
        <v>5116</v>
      </c>
      <c r="M281" s="1652">
        <v>44358</v>
      </c>
    </row>
    <row r="282" spans="1:13" s="1353" customFormat="1" ht="14.5">
      <c r="A282" s="1647">
        <v>275</v>
      </c>
      <c r="B282" s="1648" t="s">
        <v>1022</v>
      </c>
      <c r="C282" s="1648" t="s">
        <v>2228</v>
      </c>
      <c r="D282" s="1648" t="s">
        <v>154</v>
      </c>
      <c r="E282" s="1648" t="s">
        <v>788</v>
      </c>
      <c r="F282" s="1649" t="s">
        <v>5098</v>
      </c>
      <c r="G282" s="1649">
        <v>95</v>
      </c>
      <c r="H282" s="1648" t="s">
        <v>5117</v>
      </c>
      <c r="I282" s="1649" t="s">
        <v>980</v>
      </c>
      <c r="J282" s="1650">
        <v>0</v>
      </c>
      <c r="K282" s="1648"/>
      <c r="L282" s="1648" t="s">
        <v>5116</v>
      </c>
      <c r="M282" s="1652">
        <v>44358</v>
      </c>
    </row>
    <row r="283" spans="1:13" s="1353" customFormat="1" ht="14.5">
      <c r="A283" s="1647">
        <v>276</v>
      </c>
      <c r="B283" s="1648" t="s">
        <v>1022</v>
      </c>
      <c r="C283" s="1648" t="s">
        <v>2228</v>
      </c>
      <c r="D283" s="1648" t="s">
        <v>154</v>
      </c>
      <c r="E283" s="1648" t="s">
        <v>788</v>
      </c>
      <c r="F283" s="1649" t="s">
        <v>5098</v>
      </c>
      <c r="G283" s="1649">
        <v>95</v>
      </c>
      <c r="H283" s="1648" t="s">
        <v>5117</v>
      </c>
      <c r="I283" s="1649" t="s">
        <v>985</v>
      </c>
      <c r="J283" s="1650">
        <v>0</v>
      </c>
      <c r="K283" s="1648"/>
      <c r="L283" s="1648" t="s">
        <v>5116</v>
      </c>
      <c r="M283" s="1652">
        <v>44358</v>
      </c>
    </row>
    <row r="284" spans="1:13" s="1353" customFormat="1" ht="14.5">
      <c r="A284" s="1647">
        <v>277</v>
      </c>
      <c r="B284" s="1648" t="s">
        <v>1022</v>
      </c>
      <c r="C284" s="1648" t="s">
        <v>2228</v>
      </c>
      <c r="D284" s="1648" t="s">
        <v>154</v>
      </c>
      <c r="E284" s="1648" t="s">
        <v>788</v>
      </c>
      <c r="F284" s="1649" t="s">
        <v>5098</v>
      </c>
      <c r="G284" s="1649">
        <v>95</v>
      </c>
      <c r="H284" s="1648" t="s">
        <v>5117</v>
      </c>
      <c r="I284" s="1649" t="s">
        <v>958</v>
      </c>
      <c r="J284" s="1650">
        <v>0</v>
      </c>
      <c r="K284" s="1648"/>
      <c r="L284" s="1648" t="s">
        <v>5116</v>
      </c>
      <c r="M284" s="1652">
        <v>44358</v>
      </c>
    </row>
    <row r="285" spans="1:13" s="1353" customFormat="1" ht="14.5">
      <c r="A285" s="1647">
        <v>278</v>
      </c>
      <c r="B285" s="1648" t="s">
        <v>1022</v>
      </c>
      <c r="C285" s="1648" t="s">
        <v>2228</v>
      </c>
      <c r="D285" s="1648" t="s">
        <v>154</v>
      </c>
      <c r="E285" s="1648" t="s">
        <v>788</v>
      </c>
      <c r="F285" s="1649" t="s">
        <v>5098</v>
      </c>
      <c r="G285" s="1649">
        <v>95</v>
      </c>
      <c r="H285" s="1648" t="s">
        <v>5117</v>
      </c>
      <c r="I285" s="1649" t="s">
        <v>970</v>
      </c>
      <c r="J285" s="1650">
        <v>0</v>
      </c>
      <c r="K285" s="1648"/>
      <c r="L285" s="1648" t="s">
        <v>5116</v>
      </c>
      <c r="M285" s="1652">
        <v>44358</v>
      </c>
    </row>
    <row r="286" spans="1:13" s="1353" customFormat="1" ht="14.5">
      <c r="A286" s="1647">
        <v>279</v>
      </c>
      <c r="B286" s="1648" t="s">
        <v>1022</v>
      </c>
      <c r="C286" s="1648" t="s">
        <v>2228</v>
      </c>
      <c r="D286" s="1648" t="s">
        <v>154</v>
      </c>
      <c r="E286" s="1648" t="s">
        <v>788</v>
      </c>
      <c r="F286" s="1649" t="s">
        <v>5098</v>
      </c>
      <c r="G286" s="1649">
        <v>100</v>
      </c>
      <c r="H286" s="1648" t="s">
        <v>1860</v>
      </c>
      <c r="I286" s="1649" t="s">
        <v>968</v>
      </c>
      <c r="J286" s="1650">
        <v>0</v>
      </c>
      <c r="K286" s="1648"/>
      <c r="L286" s="1648" t="s">
        <v>5116</v>
      </c>
      <c r="M286" s="1652">
        <v>44358</v>
      </c>
    </row>
    <row r="287" spans="1:13" s="1353" customFormat="1" ht="14.5">
      <c r="A287" s="1647">
        <v>280</v>
      </c>
      <c r="B287" s="1648" t="s">
        <v>1022</v>
      </c>
      <c r="C287" s="1648" t="s">
        <v>2228</v>
      </c>
      <c r="D287" s="1648" t="s">
        <v>154</v>
      </c>
      <c r="E287" s="1648" t="s">
        <v>788</v>
      </c>
      <c r="F287" s="1649" t="s">
        <v>5098</v>
      </c>
      <c r="G287" s="1649">
        <v>100</v>
      </c>
      <c r="H287" s="1648" t="s">
        <v>1860</v>
      </c>
      <c r="I287" s="1649" t="s">
        <v>980</v>
      </c>
      <c r="J287" s="1650">
        <v>0</v>
      </c>
      <c r="K287" s="1648"/>
      <c r="L287" s="1648" t="s">
        <v>5116</v>
      </c>
      <c r="M287" s="1652">
        <v>44358</v>
      </c>
    </row>
    <row r="288" spans="1:13" s="1353" customFormat="1" ht="14.5">
      <c r="A288" s="1647">
        <v>281</v>
      </c>
      <c r="B288" s="1648" t="s">
        <v>1022</v>
      </c>
      <c r="C288" s="1648" t="s">
        <v>2228</v>
      </c>
      <c r="D288" s="1648" t="s">
        <v>154</v>
      </c>
      <c r="E288" s="1648" t="s">
        <v>788</v>
      </c>
      <c r="F288" s="1649" t="s">
        <v>5098</v>
      </c>
      <c r="G288" s="1649">
        <v>100</v>
      </c>
      <c r="H288" s="1648" t="s">
        <v>1860</v>
      </c>
      <c r="I288" s="1649" t="s">
        <v>985</v>
      </c>
      <c r="J288" s="1650">
        <v>0</v>
      </c>
      <c r="K288" s="1648"/>
      <c r="L288" s="1648" t="s">
        <v>5116</v>
      </c>
      <c r="M288" s="1652">
        <v>44358</v>
      </c>
    </row>
    <row r="289" spans="1:13" s="1353" customFormat="1" ht="14.5">
      <c r="A289" s="1647">
        <v>282</v>
      </c>
      <c r="B289" s="1648" t="s">
        <v>1022</v>
      </c>
      <c r="C289" s="1648" t="s">
        <v>2228</v>
      </c>
      <c r="D289" s="1648" t="s">
        <v>154</v>
      </c>
      <c r="E289" s="1648" t="s">
        <v>788</v>
      </c>
      <c r="F289" s="1649" t="s">
        <v>5098</v>
      </c>
      <c r="G289" s="1649">
        <v>100</v>
      </c>
      <c r="H289" s="1648" t="s">
        <v>1860</v>
      </c>
      <c r="I289" s="1649" t="s">
        <v>958</v>
      </c>
      <c r="J289" s="1650">
        <v>0</v>
      </c>
      <c r="K289" s="1648"/>
      <c r="L289" s="1648" t="s">
        <v>5116</v>
      </c>
      <c r="M289" s="1652">
        <v>44358</v>
      </c>
    </row>
    <row r="290" spans="1:13" s="1353" customFormat="1" ht="14.5">
      <c r="A290" s="1647">
        <v>283</v>
      </c>
      <c r="B290" s="1648" t="s">
        <v>1022</v>
      </c>
      <c r="C290" s="1648" t="s">
        <v>2228</v>
      </c>
      <c r="D290" s="1648" t="s">
        <v>154</v>
      </c>
      <c r="E290" s="1648" t="s">
        <v>788</v>
      </c>
      <c r="F290" s="1649" t="s">
        <v>5098</v>
      </c>
      <c r="G290" s="1649">
        <v>100</v>
      </c>
      <c r="H290" s="1648" t="s">
        <v>1860</v>
      </c>
      <c r="I290" s="1649" t="s">
        <v>970</v>
      </c>
      <c r="J290" s="1650">
        <v>0</v>
      </c>
      <c r="K290" s="1648"/>
      <c r="L290" s="1648" t="s">
        <v>5116</v>
      </c>
      <c r="M290" s="1652">
        <v>44358</v>
      </c>
    </row>
    <row r="291" spans="1:13" s="1353" customFormat="1" ht="14.5">
      <c r="A291" s="1647">
        <v>284</v>
      </c>
      <c r="B291" s="1648" t="s">
        <v>1029</v>
      </c>
      <c r="C291" s="1648" t="s">
        <v>2838</v>
      </c>
      <c r="D291" s="1648" t="s">
        <v>154</v>
      </c>
      <c r="E291" s="1648" t="s">
        <v>788</v>
      </c>
      <c r="F291" s="1649" t="s">
        <v>5098</v>
      </c>
      <c r="G291" s="1649">
        <v>95</v>
      </c>
      <c r="H291" s="1648" t="s">
        <v>5117</v>
      </c>
      <c r="I291" s="1649" t="s">
        <v>968</v>
      </c>
      <c r="J291" s="1650">
        <v>0</v>
      </c>
      <c r="K291" s="1648"/>
      <c r="L291" s="1648" t="s">
        <v>5116</v>
      </c>
      <c r="M291" s="1652">
        <v>44358</v>
      </c>
    </row>
    <row r="292" spans="1:13" s="1353" customFormat="1" ht="14.5">
      <c r="A292" s="1647">
        <v>285</v>
      </c>
      <c r="B292" s="1648" t="s">
        <v>1029</v>
      </c>
      <c r="C292" s="1648" t="s">
        <v>2838</v>
      </c>
      <c r="D292" s="1648" t="s">
        <v>154</v>
      </c>
      <c r="E292" s="1648" t="s">
        <v>788</v>
      </c>
      <c r="F292" s="1649" t="s">
        <v>5098</v>
      </c>
      <c r="G292" s="1649">
        <v>95</v>
      </c>
      <c r="H292" s="1648" t="s">
        <v>5117</v>
      </c>
      <c r="I292" s="1649" t="s">
        <v>980</v>
      </c>
      <c r="J292" s="1650">
        <v>0</v>
      </c>
      <c r="K292" s="1648"/>
      <c r="L292" s="1648" t="s">
        <v>5116</v>
      </c>
      <c r="M292" s="1652">
        <v>44358</v>
      </c>
    </row>
    <row r="293" spans="1:13" s="1353" customFormat="1" ht="14.5">
      <c r="A293" s="1647">
        <v>286</v>
      </c>
      <c r="B293" s="1648" t="s">
        <v>1029</v>
      </c>
      <c r="C293" s="1648" t="s">
        <v>2838</v>
      </c>
      <c r="D293" s="1648" t="s">
        <v>154</v>
      </c>
      <c r="E293" s="1648" t="s">
        <v>788</v>
      </c>
      <c r="F293" s="1649" t="s">
        <v>5098</v>
      </c>
      <c r="G293" s="1649">
        <v>95</v>
      </c>
      <c r="H293" s="1648" t="s">
        <v>5117</v>
      </c>
      <c r="I293" s="1649" t="s">
        <v>985</v>
      </c>
      <c r="J293" s="1650">
        <v>0</v>
      </c>
      <c r="K293" s="1648"/>
      <c r="L293" s="1648" t="s">
        <v>5116</v>
      </c>
      <c r="M293" s="1652">
        <v>44358</v>
      </c>
    </row>
    <row r="294" spans="1:13" s="1353" customFormat="1" ht="14.5">
      <c r="A294" s="1647">
        <v>287</v>
      </c>
      <c r="B294" s="1648" t="s">
        <v>1029</v>
      </c>
      <c r="C294" s="1648" t="s">
        <v>2838</v>
      </c>
      <c r="D294" s="1648" t="s">
        <v>154</v>
      </c>
      <c r="E294" s="1648" t="s">
        <v>788</v>
      </c>
      <c r="F294" s="1649" t="s">
        <v>5098</v>
      </c>
      <c r="G294" s="1649">
        <v>95</v>
      </c>
      <c r="H294" s="1648" t="s">
        <v>5117</v>
      </c>
      <c r="I294" s="1649" t="s">
        <v>958</v>
      </c>
      <c r="J294" s="1650">
        <v>0</v>
      </c>
      <c r="K294" s="1648"/>
      <c r="L294" s="1648" t="s">
        <v>5116</v>
      </c>
      <c r="M294" s="1652">
        <v>44358</v>
      </c>
    </row>
    <row r="295" spans="1:13" s="1353" customFormat="1" ht="14.5">
      <c r="A295" s="1647">
        <v>288</v>
      </c>
      <c r="B295" s="1648" t="s">
        <v>1029</v>
      </c>
      <c r="C295" s="1648" t="s">
        <v>2838</v>
      </c>
      <c r="D295" s="1648" t="s">
        <v>154</v>
      </c>
      <c r="E295" s="1648" t="s">
        <v>788</v>
      </c>
      <c r="F295" s="1649" t="s">
        <v>5098</v>
      </c>
      <c r="G295" s="1649">
        <v>95</v>
      </c>
      <c r="H295" s="1648" t="s">
        <v>5117</v>
      </c>
      <c r="I295" s="1649" t="s">
        <v>970</v>
      </c>
      <c r="J295" s="1650">
        <v>0</v>
      </c>
      <c r="K295" s="1648"/>
      <c r="L295" s="1648" t="s">
        <v>5116</v>
      </c>
      <c r="M295" s="1652">
        <v>44358</v>
      </c>
    </row>
    <row r="296" spans="1:13" s="1353" customFormat="1" ht="14.5">
      <c r="A296" s="1647">
        <v>289</v>
      </c>
      <c r="B296" s="1648" t="s">
        <v>1029</v>
      </c>
      <c r="C296" s="1648" t="s">
        <v>2838</v>
      </c>
      <c r="D296" s="1648" t="s">
        <v>154</v>
      </c>
      <c r="E296" s="1648" t="s">
        <v>788</v>
      </c>
      <c r="F296" s="1649" t="s">
        <v>5098</v>
      </c>
      <c r="G296" s="1649">
        <v>100</v>
      </c>
      <c r="H296" s="1648" t="s">
        <v>1860</v>
      </c>
      <c r="I296" s="1649" t="s">
        <v>968</v>
      </c>
      <c r="J296" s="1650">
        <v>0</v>
      </c>
      <c r="K296" s="1648"/>
      <c r="L296" s="1648" t="s">
        <v>5116</v>
      </c>
      <c r="M296" s="1652">
        <v>44358</v>
      </c>
    </row>
    <row r="297" spans="1:13" s="1353" customFormat="1" ht="14.5">
      <c r="A297" s="1647">
        <v>290</v>
      </c>
      <c r="B297" s="1648" t="s">
        <v>1029</v>
      </c>
      <c r="C297" s="1648" t="s">
        <v>2838</v>
      </c>
      <c r="D297" s="1648" t="s">
        <v>154</v>
      </c>
      <c r="E297" s="1648" t="s">
        <v>788</v>
      </c>
      <c r="F297" s="1649" t="s">
        <v>5098</v>
      </c>
      <c r="G297" s="1649">
        <v>100</v>
      </c>
      <c r="H297" s="1648" t="s">
        <v>1860</v>
      </c>
      <c r="I297" s="1649" t="s">
        <v>980</v>
      </c>
      <c r="J297" s="1650">
        <v>0</v>
      </c>
      <c r="K297" s="1648"/>
      <c r="L297" s="1648" t="s">
        <v>5116</v>
      </c>
      <c r="M297" s="1652">
        <v>44358</v>
      </c>
    </row>
    <row r="298" spans="1:13" s="1353" customFormat="1" ht="14.5">
      <c r="A298" s="1647">
        <v>291</v>
      </c>
      <c r="B298" s="1648" t="s">
        <v>1029</v>
      </c>
      <c r="C298" s="1648" t="s">
        <v>2838</v>
      </c>
      <c r="D298" s="1648" t="s">
        <v>154</v>
      </c>
      <c r="E298" s="1648" t="s">
        <v>788</v>
      </c>
      <c r="F298" s="1649" t="s">
        <v>5098</v>
      </c>
      <c r="G298" s="1649">
        <v>100</v>
      </c>
      <c r="H298" s="1648" t="s">
        <v>1860</v>
      </c>
      <c r="I298" s="1649" t="s">
        <v>985</v>
      </c>
      <c r="J298" s="1650">
        <v>0</v>
      </c>
      <c r="K298" s="1648"/>
      <c r="L298" s="1648" t="s">
        <v>5116</v>
      </c>
      <c r="M298" s="1652">
        <v>44358</v>
      </c>
    </row>
    <row r="299" spans="1:13" s="1353" customFormat="1" ht="14.5">
      <c r="A299" s="1647">
        <v>292</v>
      </c>
      <c r="B299" s="1648" t="s">
        <v>1029</v>
      </c>
      <c r="C299" s="1648" t="s">
        <v>2838</v>
      </c>
      <c r="D299" s="1648" t="s">
        <v>154</v>
      </c>
      <c r="E299" s="1648" t="s">
        <v>788</v>
      </c>
      <c r="F299" s="1649" t="s">
        <v>5098</v>
      </c>
      <c r="G299" s="1649">
        <v>100</v>
      </c>
      <c r="H299" s="1648" t="s">
        <v>1860</v>
      </c>
      <c r="I299" s="1649" t="s">
        <v>958</v>
      </c>
      <c r="J299" s="1650">
        <v>0</v>
      </c>
      <c r="K299" s="1648"/>
      <c r="L299" s="1648" t="s">
        <v>5116</v>
      </c>
      <c r="M299" s="1652">
        <v>44358</v>
      </c>
    </row>
    <row r="300" spans="1:13" s="1353" customFormat="1" ht="14.5">
      <c r="A300" s="1647">
        <v>293</v>
      </c>
      <c r="B300" s="1648" t="s">
        <v>1029</v>
      </c>
      <c r="C300" s="1648" t="s">
        <v>2838</v>
      </c>
      <c r="D300" s="1648" t="s">
        <v>154</v>
      </c>
      <c r="E300" s="1648" t="s">
        <v>788</v>
      </c>
      <c r="F300" s="1649" t="s">
        <v>5098</v>
      </c>
      <c r="G300" s="1649">
        <v>100</v>
      </c>
      <c r="H300" s="1648" t="s">
        <v>1860</v>
      </c>
      <c r="I300" s="1649" t="s">
        <v>970</v>
      </c>
      <c r="J300" s="1650">
        <v>0</v>
      </c>
      <c r="K300" s="1648"/>
      <c r="L300" s="1648" t="s">
        <v>5116</v>
      </c>
      <c r="M300" s="1652">
        <v>44358</v>
      </c>
    </row>
    <row r="301" spans="1:13" s="1353" customFormat="1" ht="14.5">
      <c r="A301" s="1647">
        <v>294</v>
      </c>
      <c r="B301" s="1653" t="s">
        <v>972</v>
      </c>
      <c r="C301" s="1648" t="s">
        <v>2132</v>
      </c>
      <c r="D301" s="1654" t="s">
        <v>2133</v>
      </c>
      <c r="E301" s="1654" t="s">
        <v>788</v>
      </c>
      <c r="F301" s="1649" t="s">
        <v>5098</v>
      </c>
      <c r="G301" s="1647">
        <v>80</v>
      </c>
      <c r="H301" s="1647" t="s">
        <v>956</v>
      </c>
      <c r="I301" s="1647" t="s">
        <v>968</v>
      </c>
      <c r="J301" s="1647" t="s">
        <v>5025</v>
      </c>
      <c r="K301" s="1647"/>
      <c r="L301" s="1654" t="s">
        <v>5026</v>
      </c>
      <c r="M301" s="1652">
        <v>44372</v>
      </c>
    </row>
    <row r="302" spans="1:13" s="1353" customFormat="1" ht="14.5">
      <c r="A302" s="1647">
        <v>295</v>
      </c>
      <c r="B302" s="1653" t="s">
        <v>972</v>
      </c>
      <c r="C302" s="1648" t="s">
        <v>2132</v>
      </c>
      <c r="D302" s="1654" t="s">
        <v>2133</v>
      </c>
      <c r="E302" s="1654" t="s">
        <v>788</v>
      </c>
      <c r="F302" s="1649" t="s">
        <v>5098</v>
      </c>
      <c r="G302" s="1647">
        <v>80</v>
      </c>
      <c r="H302" s="1647" t="s">
        <v>956</v>
      </c>
      <c r="I302" s="1647" t="s">
        <v>980</v>
      </c>
      <c r="J302" s="1647" t="s">
        <v>5025</v>
      </c>
      <c r="K302" s="1647"/>
      <c r="L302" s="1654" t="s">
        <v>5026</v>
      </c>
      <c r="M302" s="1652">
        <v>44372</v>
      </c>
    </row>
    <row r="303" spans="1:13" s="1353" customFormat="1" ht="14.5">
      <c r="A303" s="1647">
        <v>296</v>
      </c>
      <c r="B303" s="1653" t="s">
        <v>972</v>
      </c>
      <c r="C303" s="1648" t="s">
        <v>2132</v>
      </c>
      <c r="D303" s="1654" t="s">
        <v>2133</v>
      </c>
      <c r="E303" s="1654" t="s">
        <v>788</v>
      </c>
      <c r="F303" s="1649" t="s">
        <v>5098</v>
      </c>
      <c r="G303" s="1647">
        <v>80</v>
      </c>
      <c r="H303" s="1647" t="s">
        <v>956</v>
      </c>
      <c r="I303" s="1647" t="s">
        <v>985</v>
      </c>
      <c r="J303" s="1647" t="s">
        <v>5025</v>
      </c>
      <c r="K303" s="1647"/>
      <c r="L303" s="1654" t="s">
        <v>5026</v>
      </c>
      <c r="M303" s="1652">
        <v>44372</v>
      </c>
    </row>
    <row r="304" spans="1:13" s="1353" customFormat="1" ht="14.5">
      <c r="A304" s="1647">
        <v>297</v>
      </c>
      <c r="B304" s="1653" t="s">
        <v>972</v>
      </c>
      <c r="C304" s="1648" t="s">
        <v>2132</v>
      </c>
      <c r="D304" s="1654" t="s">
        <v>2133</v>
      </c>
      <c r="E304" s="1654" t="s">
        <v>788</v>
      </c>
      <c r="F304" s="1649" t="s">
        <v>5098</v>
      </c>
      <c r="G304" s="1647">
        <v>80</v>
      </c>
      <c r="H304" s="1647" t="s">
        <v>956</v>
      </c>
      <c r="I304" s="1647" t="s">
        <v>958</v>
      </c>
      <c r="J304" s="1647" t="s">
        <v>5025</v>
      </c>
      <c r="K304" s="1647"/>
      <c r="L304" s="1654" t="s">
        <v>5026</v>
      </c>
      <c r="M304" s="1652">
        <v>44372</v>
      </c>
    </row>
    <row r="305" spans="1:13" s="1353" customFormat="1" ht="29">
      <c r="A305" s="1647">
        <v>298</v>
      </c>
      <c r="B305" s="1653" t="s">
        <v>993</v>
      </c>
      <c r="C305" s="1648" t="s">
        <v>5118</v>
      </c>
      <c r="D305" s="1654" t="s">
        <v>687</v>
      </c>
      <c r="E305" s="1654" t="s">
        <v>788</v>
      </c>
      <c r="F305" s="1649" t="s">
        <v>5098</v>
      </c>
      <c r="G305" s="1647">
        <v>85</v>
      </c>
      <c r="H305" s="1648" t="s">
        <v>1857</v>
      </c>
      <c r="I305" s="1649" t="s">
        <v>968</v>
      </c>
      <c r="J305" s="1647">
        <v>2.35</v>
      </c>
      <c r="K305" s="1647">
        <v>2.56</v>
      </c>
      <c r="L305" s="1654" t="s">
        <v>5119</v>
      </c>
      <c r="M305" s="1652">
        <v>44533</v>
      </c>
    </row>
    <row r="306" spans="1:13" s="1353" customFormat="1" ht="29">
      <c r="A306" s="1647">
        <v>299</v>
      </c>
      <c r="B306" s="1653" t="s">
        <v>993</v>
      </c>
      <c r="C306" s="1648" t="s">
        <v>5118</v>
      </c>
      <c r="D306" s="1654" t="s">
        <v>687</v>
      </c>
      <c r="E306" s="1654" t="s">
        <v>788</v>
      </c>
      <c r="F306" s="1649" t="s">
        <v>5098</v>
      </c>
      <c r="G306" s="1647">
        <v>85</v>
      </c>
      <c r="H306" s="1648" t="s">
        <v>1857</v>
      </c>
      <c r="I306" s="1649" t="s">
        <v>980</v>
      </c>
      <c r="J306" s="1647">
        <v>2.35</v>
      </c>
      <c r="K306" s="1647">
        <v>2.56</v>
      </c>
      <c r="L306" s="1654" t="s">
        <v>5119</v>
      </c>
      <c r="M306" s="1652">
        <v>44533</v>
      </c>
    </row>
    <row r="307" spans="1:13" s="1353" customFormat="1" ht="29">
      <c r="A307" s="1647">
        <v>300</v>
      </c>
      <c r="B307" s="1653" t="s">
        <v>993</v>
      </c>
      <c r="C307" s="1648" t="s">
        <v>5118</v>
      </c>
      <c r="D307" s="1654" t="s">
        <v>687</v>
      </c>
      <c r="E307" s="1654" t="s">
        <v>788</v>
      </c>
      <c r="F307" s="1649" t="s">
        <v>5098</v>
      </c>
      <c r="G307" s="1647">
        <v>85</v>
      </c>
      <c r="H307" s="1648" t="s">
        <v>1857</v>
      </c>
      <c r="I307" s="1649" t="s">
        <v>985</v>
      </c>
      <c r="J307" s="1647">
        <v>2.35</v>
      </c>
      <c r="K307" s="1647">
        <v>2.56</v>
      </c>
      <c r="L307" s="1654" t="s">
        <v>5119</v>
      </c>
      <c r="M307" s="1652">
        <v>44533</v>
      </c>
    </row>
    <row r="308" spans="1:13" s="1353" customFormat="1" ht="29">
      <c r="A308" s="1647">
        <v>301</v>
      </c>
      <c r="B308" s="1653" t="s">
        <v>993</v>
      </c>
      <c r="C308" s="1648" t="s">
        <v>5118</v>
      </c>
      <c r="D308" s="1654" t="s">
        <v>687</v>
      </c>
      <c r="E308" s="1654" t="s">
        <v>788</v>
      </c>
      <c r="F308" s="1649" t="s">
        <v>5098</v>
      </c>
      <c r="G308" s="1647">
        <v>85</v>
      </c>
      <c r="H308" s="1648" t="s">
        <v>1857</v>
      </c>
      <c r="I308" s="1649" t="s">
        <v>958</v>
      </c>
      <c r="J308" s="1647">
        <v>2.35</v>
      </c>
      <c r="K308" s="1647">
        <v>2.56</v>
      </c>
      <c r="L308" s="1654" t="s">
        <v>5119</v>
      </c>
      <c r="M308" s="1652">
        <v>44533</v>
      </c>
    </row>
    <row r="309" spans="1:13" s="1353" customFormat="1" ht="29">
      <c r="A309" s="1647">
        <v>302</v>
      </c>
      <c r="B309" s="1653" t="s">
        <v>993</v>
      </c>
      <c r="C309" s="1648" t="s">
        <v>5118</v>
      </c>
      <c r="D309" s="1654" t="s">
        <v>687</v>
      </c>
      <c r="E309" s="1654" t="s">
        <v>788</v>
      </c>
      <c r="F309" s="1649" t="s">
        <v>5098</v>
      </c>
      <c r="G309" s="1647">
        <v>85</v>
      </c>
      <c r="H309" s="1648" t="s">
        <v>1857</v>
      </c>
      <c r="I309" s="1649" t="s">
        <v>970</v>
      </c>
      <c r="J309" s="1647">
        <v>2.35</v>
      </c>
      <c r="K309" s="1647">
        <v>2.56</v>
      </c>
      <c r="L309" s="1654" t="s">
        <v>5119</v>
      </c>
      <c r="M309" s="1652">
        <v>44533</v>
      </c>
    </row>
    <row r="310" spans="1:13" s="1353" customFormat="1" ht="29">
      <c r="A310" s="1647">
        <v>303</v>
      </c>
      <c r="B310" s="1653" t="s">
        <v>993</v>
      </c>
      <c r="C310" s="1648" t="s">
        <v>5118</v>
      </c>
      <c r="D310" s="1654" t="s">
        <v>687</v>
      </c>
      <c r="E310" s="1654" t="s">
        <v>788</v>
      </c>
      <c r="F310" s="1649" t="s">
        <v>5098</v>
      </c>
      <c r="G310" s="1647">
        <v>90</v>
      </c>
      <c r="H310" s="1648" t="s">
        <v>1858</v>
      </c>
      <c r="I310" s="1649" t="s">
        <v>968</v>
      </c>
      <c r="J310" s="1647">
        <v>2.56</v>
      </c>
      <c r="K310" s="1647">
        <v>2.35</v>
      </c>
      <c r="L310" s="1654" t="s">
        <v>5119</v>
      </c>
      <c r="M310" s="1652">
        <v>44533</v>
      </c>
    </row>
    <row r="311" spans="1:13" s="1353" customFormat="1" ht="29">
      <c r="A311" s="1647">
        <v>304</v>
      </c>
      <c r="B311" s="1653" t="s">
        <v>993</v>
      </c>
      <c r="C311" s="1648" t="s">
        <v>5118</v>
      </c>
      <c r="D311" s="1654" t="s">
        <v>687</v>
      </c>
      <c r="E311" s="1654" t="s">
        <v>788</v>
      </c>
      <c r="F311" s="1649" t="s">
        <v>5098</v>
      </c>
      <c r="G311" s="1647">
        <v>90</v>
      </c>
      <c r="H311" s="1648" t="s">
        <v>1858</v>
      </c>
      <c r="I311" s="1649" t="s">
        <v>980</v>
      </c>
      <c r="J311" s="1647">
        <v>2.56</v>
      </c>
      <c r="K311" s="1647">
        <v>2.35</v>
      </c>
      <c r="L311" s="1654" t="s">
        <v>5119</v>
      </c>
      <c r="M311" s="1652">
        <v>44533</v>
      </c>
    </row>
    <row r="312" spans="1:13" s="1353" customFormat="1" ht="29">
      <c r="A312" s="1647">
        <v>305</v>
      </c>
      <c r="B312" s="1653" t="s">
        <v>993</v>
      </c>
      <c r="C312" s="1648" t="s">
        <v>5118</v>
      </c>
      <c r="D312" s="1654" t="s">
        <v>687</v>
      </c>
      <c r="E312" s="1654" t="s">
        <v>788</v>
      </c>
      <c r="F312" s="1649" t="s">
        <v>5098</v>
      </c>
      <c r="G312" s="1647">
        <v>90</v>
      </c>
      <c r="H312" s="1648" t="s">
        <v>1858</v>
      </c>
      <c r="I312" s="1649" t="s">
        <v>985</v>
      </c>
      <c r="J312" s="1647">
        <v>2.56</v>
      </c>
      <c r="K312" s="1647">
        <v>2.35</v>
      </c>
      <c r="L312" s="1654" t="s">
        <v>5119</v>
      </c>
      <c r="M312" s="1652">
        <v>44533</v>
      </c>
    </row>
    <row r="313" spans="1:13" s="1353" customFormat="1" ht="29">
      <c r="A313" s="1647">
        <v>306</v>
      </c>
      <c r="B313" s="1653" t="s">
        <v>993</v>
      </c>
      <c r="C313" s="1648" t="s">
        <v>5118</v>
      </c>
      <c r="D313" s="1654" t="s">
        <v>687</v>
      </c>
      <c r="E313" s="1654" t="s">
        <v>788</v>
      </c>
      <c r="F313" s="1649" t="s">
        <v>5098</v>
      </c>
      <c r="G313" s="1647">
        <v>90</v>
      </c>
      <c r="H313" s="1648" t="s">
        <v>1858</v>
      </c>
      <c r="I313" s="1649" t="s">
        <v>958</v>
      </c>
      <c r="J313" s="1647">
        <v>2.56</v>
      </c>
      <c r="K313" s="1647">
        <v>2.35</v>
      </c>
      <c r="L313" s="1654" t="s">
        <v>5119</v>
      </c>
      <c r="M313" s="1652">
        <v>44533</v>
      </c>
    </row>
    <row r="314" spans="1:13" s="1353" customFormat="1" ht="29">
      <c r="A314" s="1647">
        <v>307</v>
      </c>
      <c r="B314" s="1653" t="s">
        <v>993</v>
      </c>
      <c r="C314" s="1648" t="s">
        <v>5118</v>
      </c>
      <c r="D314" s="1654" t="s">
        <v>687</v>
      </c>
      <c r="E314" s="1654" t="s">
        <v>788</v>
      </c>
      <c r="F314" s="1649" t="s">
        <v>5098</v>
      </c>
      <c r="G314" s="1647">
        <v>90</v>
      </c>
      <c r="H314" s="1648" t="s">
        <v>1858</v>
      </c>
      <c r="I314" s="1649" t="s">
        <v>970</v>
      </c>
      <c r="J314" s="1647">
        <v>2.56</v>
      </c>
      <c r="K314" s="1647">
        <v>2.35</v>
      </c>
      <c r="L314" s="1654" t="s">
        <v>5119</v>
      </c>
      <c r="M314" s="1652">
        <v>44533</v>
      </c>
    </row>
    <row r="315" spans="1:13" s="1353" customFormat="1" ht="29">
      <c r="A315" s="1647">
        <v>308</v>
      </c>
      <c r="B315" s="1653" t="s">
        <v>1018</v>
      </c>
      <c r="C315" s="1651" t="s">
        <v>1159</v>
      </c>
      <c r="D315" s="1654" t="s">
        <v>604</v>
      </c>
      <c r="E315" s="1654" t="s">
        <v>788</v>
      </c>
      <c r="F315" s="1649" t="s">
        <v>5098</v>
      </c>
      <c r="G315" s="1647">
        <v>36</v>
      </c>
      <c r="H315" s="1647" t="s">
        <v>944</v>
      </c>
      <c r="I315" s="1659"/>
      <c r="J315" s="1659" t="s">
        <v>965</v>
      </c>
      <c r="K315" s="1659" t="s">
        <v>977</v>
      </c>
      <c r="L315" s="1654" t="s">
        <v>5027</v>
      </c>
      <c r="M315" s="1652">
        <v>44539</v>
      </c>
    </row>
    <row r="316" spans="1:13" s="1353" customFormat="1" ht="29">
      <c r="A316" s="1647">
        <v>309</v>
      </c>
      <c r="B316" s="1653" t="s">
        <v>972</v>
      </c>
      <c r="C316" s="1651" t="s">
        <v>1125</v>
      </c>
      <c r="D316" s="1654" t="s">
        <v>604</v>
      </c>
      <c r="E316" s="1654" t="s">
        <v>788</v>
      </c>
      <c r="F316" s="1649" t="s">
        <v>5098</v>
      </c>
      <c r="G316" s="1647">
        <v>36</v>
      </c>
      <c r="H316" s="1647" t="s">
        <v>944</v>
      </c>
      <c r="I316" s="1659"/>
      <c r="J316" s="1659" t="s">
        <v>965</v>
      </c>
      <c r="K316" s="1659" t="s">
        <v>977</v>
      </c>
      <c r="L316" s="1654" t="s">
        <v>5027</v>
      </c>
      <c r="M316" s="1652">
        <v>44539</v>
      </c>
    </row>
    <row r="317" spans="1:13" s="1356" customFormat="1" ht="29">
      <c r="A317" s="1601">
        <v>310</v>
      </c>
      <c r="B317" s="1602" t="s">
        <v>1022</v>
      </c>
      <c r="C317" s="1603" t="s">
        <v>1162</v>
      </c>
      <c r="D317" s="1603" t="s">
        <v>604</v>
      </c>
      <c r="E317" s="1603" t="s">
        <v>788</v>
      </c>
      <c r="F317" s="1601" t="s">
        <v>5098</v>
      </c>
      <c r="G317" s="1601">
        <v>36</v>
      </c>
      <c r="H317" s="1601" t="s">
        <v>944</v>
      </c>
      <c r="I317" s="1596"/>
      <c r="J317" s="1596" t="s">
        <v>965</v>
      </c>
      <c r="K317" s="1596" t="s">
        <v>977</v>
      </c>
      <c r="L317" s="1603" t="s">
        <v>5027</v>
      </c>
      <c r="M317" s="1604">
        <v>44539</v>
      </c>
    </row>
    <row r="318" spans="1:13" s="1353" customFormat="1" ht="29">
      <c r="A318" s="1647">
        <v>311</v>
      </c>
      <c r="B318" s="1653" t="s">
        <v>5028</v>
      </c>
      <c r="C318" s="1651" t="s">
        <v>1131</v>
      </c>
      <c r="D318" s="1654" t="s">
        <v>604</v>
      </c>
      <c r="E318" s="1654" t="s">
        <v>788</v>
      </c>
      <c r="F318" s="1649" t="s">
        <v>5098</v>
      </c>
      <c r="G318" s="1647">
        <v>36</v>
      </c>
      <c r="H318" s="1647" t="s">
        <v>944</v>
      </c>
      <c r="I318" s="1659"/>
      <c r="J318" s="1659" t="s">
        <v>965</v>
      </c>
      <c r="K318" s="1659" t="s">
        <v>977</v>
      </c>
      <c r="L318" s="1654" t="s">
        <v>5027</v>
      </c>
      <c r="M318" s="1652">
        <v>44539</v>
      </c>
    </row>
    <row r="319" spans="1:13" s="1353" customFormat="1" ht="29">
      <c r="A319" s="1647">
        <v>312</v>
      </c>
      <c r="B319" s="1653" t="s">
        <v>990</v>
      </c>
      <c r="C319" s="1651" t="s">
        <v>1134</v>
      </c>
      <c r="D319" s="1654" t="s">
        <v>604</v>
      </c>
      <c r="E319" s="1654" t="s">
        <v>788</v>
      </c>
      <c r="F319" s="1649" t="s">
        <v>5098</v>
      </c>
      <c r="G319" s="1647">
        <v>36</v>
      </c>
      <c r="H319" s="1647" t="s">
        <v>944</v>
      </c>
      <c r="I319" s="1659"/>
      <c r="J319" s="1659" t="s">
        <v>965</v>
      </c>
      <c r="K319" s="1659" t="s">
        <v>977</v>
      </c>
      <c r="L319" s="1654" t="s">
        <v>5027</v>
      </c>
      <c r="M319" s="1652">
        <v>44539</v>
      </c>
    </row>
    <row r="320" spans="1:13" s="1353" customFormat="1" ht="29">
      <c r="A320" s="1647">
        <v>313</v>
      </c>
      <c r="B320" s="1653" t="s">
        <v>1026</v>
      </c>
      <c r="C320" s="1651" t="s">
        <v>1165</v>
      </c>
      <c r="D320" s="1654" t="s">
        <v>604</v>
      </c>
      <c r="E320" s="1654" t="s">
        <v>788</v>
      </c>
      <c r="F320" s="1649" t="s">
        <v>5098</v>
      </c>
      <c r="G320" s="1647">
        <v>36</v>
      </c>
      <c r="H320" s="1647" t="s">
        <v>944</v>
      </c>
      <c r="I320" s="1659"/>
      <c r="J320" s="1659" t="s">
        <v>965</v>
      </c>
      <c r="K320" s="1659" t="s">
        <v>977</v>
      </c>
      <c r="L320" s="1654" t="s">
        <v>5027</v>
      </c>
      <c r="M320" s="1652">
        <v>44539</v>
      </c>
    </row>
    <row r="321" spans="1:13" s="1353" customFormat="1" ht="29">
      <c r="A321" s="1647">
        <v>314</v>
      </c>
      <c r="B321" s="1653" t="s">
        <v>5029</v>
      </c>
      <c r="C321" s="1651" t="s">
        <v>1171</v>
      </c>
      <c r="D321" s="1654" t="s">
        <v>604</v>
      </c>
      <c r="E321" s="1654" t="s">
        <v>788</v>
      </c>
      <c r="F321" s="1649" t="s">
        <v>5098</v>
      </c>
      <c r="G321" s="1647">
        <v>36</v>
      </c>
      <c r="H321" s="1647" t="s">
        <v>944</v>
      </c>
      <c r="I321" s="1659"/>
      <c r="J321" s="1659" t="s">
        <v>965</v>
      </c>
      <c r="K321" s="1659" t="s">
        <v>977</v>
      </c>
      <c r="L321" s="1654" t="s">
        <v>5027</v>
      </c>
      <c r="M321" s="1652">
        <v>44539</v>
      </c>
    </row>
    <row r="322" spans="1:13" s="1353" customFormat="1" ht="29">
      <c r="A322" s="1647">
        <v>315</v>
      </c>
      <c r="B322" s="1653" t="s">
        <v>1033</v>
      </c>
      <c r="C322" s="1651" t="s">
        <v>1166</v>
      </c>
      <c r="D322" s="1654" t="s">
        <v>604</v>
      </c>
      <c r="E322" s="1654" t="s">
        <v>788</v>
      </c>
      <c r="F322" s="1649" t="s">
        <v>5098</v>
      </c>
      <c r="G322" s="1647">
        <v>36</v>
      </c>
      <c r="H322" s="1647" t="s">
        <v>944</v>
      </c>
      <c r="I322" s="1659"/>
      <c r="J322" s="1659" t="s">
        <v>965</v>
      </c>
      <c r="K322" s="1659" t="s">
        <v>977</v>
      </c>
      <c r="L322" s="1654" t="s">
        <v>5027</v>
      </c>
      <c r="M322" s="1652">
        <v>44539</v>
      </c>
    </row>
    <row r="323" spans="1:13" s="1353" customFormat="1" ht="29">
      <c r="A323" s="1647">
        <v>316</v>
      </c>
      <c r="B323" s="1653" t="s">
        <v>996</v>
      </c>
      <c r="C323" s="1651" t="s">
        <v>1143</v>
      </c>
      <c r="D323" s="1654" t="s">
        <v>604</v>
      </c>
      <c r="E323" s="1654" t="s">
        <v>788</v>
      </c>
      <c r="F323" s="1649" t="s">
        <v>5098</v>
      </c>
      <c r="G323" s="1647">
        <v>36</v>
      </c>
      <c r="H323" s="1647" t="s">
        <v>944</v>
      </c>
      <c r="I323" s="1659"/>
      <c r="J323" s="1659" t="s">
        <v>965</v>
      </c>
      <c r="K323" s="1659" t="s">
        <v>977</v>
      </c>
      <c r="L323" s="1654" t="s">
        <v>5027</v>
      </c>
      <c r="M323" s="1652">
        <v>44539</v>
      </c>
    </row>
    <row r="324" spans="1:13" s="1353" customFormat="1" ht="29">
      <c r="A324" s="1647">
        <v>317</v>
      </c>
      <c r="B324" s="1653" t="s">
        <v>1036</v>
      </c>
      <c r="C324" s="1651" t="s">
        <v>1168</v>
      </c>
      <c r="D324" s="1654" t="s">
        <v>604</v>
      </c>
      <c r="E324" s="1654" t="s">
        <v>788</v>
      </c>
      <c r="F324" s="1649" t="s">
        <v>5098</v>
      </c>
      <c r="G324" s="1647">
        <v>36</v>
      </c>
      <c r="H324" s="1647" t="s">
        <v>944</v>
      </c>
      <c r="I324" s="1659"/>
      <c r="J324" s="1659" t="s">
        <v>965</v>
      </c>
      <c r="K324" s="1659" t="s">
        <v>977</v>
      </c>
      <c r="L324" s="1654" t="s">
        <v>5027</v>
      </c>
      <c r="M324" s="1652">
        <v>44539</v>
      </c>
    </row>
    <row r="325" spans="1:13" s="1353" customFormat="1" ht="29">
      <c r="A325" s="1647">
        <v>318</v>
      </c>
      <c r="B325" s="1653" t="s">
        <v>1036</v>
      </c>
      <c r="C325" s="1651" t="s">
        <v>1170</v>
      </c>
      <c r="D325" s="1654" t="s">
        <v>604</v>
      </c>
      <c r="E325" s="1654" t="s">
        <v>788</v>
      </c>
      <c r="F325" s="1649" t="s">
        <v>5098</v>
      </c>
      <c r="G325" s="1647">
        <v>36</v>
      </c>
      <c r="H325" s="1647" t="s">
        <v>944</v>
      </c>
      <c r="I325" s="1659"/>
      <c r="J325" s="1659" t="s">
        <v>965</v>
      </c>
      <c r="K325" s="1659" t="s">
        <v>977</v>
      </c>
      <c r="L325" s="1654" t="s">
        <v>5027</v>
      </c>
      <c r="M325" s="1652">
        <v>44539</v>
      </c>
    </row>
    <row r="326" spans="1:13" s="1353" customFormat="1" ht="29">
      <c r="A326" s="1647">
        <v>319</v>
      </c>
      <c r="B326" s="1653" t="s">
        <v>993</v>
      </c>
      <c r="C326" s="1651" t="s">
        <v>1137</v>
      </c>
      <c r="D326" s="1654" t="s">
        <v>604</v>
      </c>
      <c r="E326" s="1654" t="s">
        <v>788</v>
      </c>
      <c r="F326" s="1649" t="s">
        <v>5098</v>
      </c>
      <c r="G326" s="1647">
        <v>36</v>
      </c>
      <c r="H326" s="1647" t="s">
        <v>944</v>
      </c>
      <c r="I326" s="1659"/>
      <c r="J326" s="1659" t="s">
        <v>965</v>
      </c>
      <c r="K326" s="1659" t="s">
        <v>977</v>
      </c>
      <c r="L326" s="1654" t="s">
        <v>5027</v>
      </c>
      <c r="M326" s="1652">
        <v>44539</v>
      </c>
    </row>
    <row r="327" spans="1:13" s="1353" customFormat="1" ht="29">
      <c r="A327" s="1647">
        <v>320</v>
      </c>
      <c r="B327" s="1653" t="s">
        <v>1003</v>
      </c>
      <c r="C327" s="1651" t="s">
        <v>1147</v>
      </c>
      <c r="D327" s="1654" t="s">
        <v>604</v>
      </c>
      <c r="E327" s="1654" t="s">
        <v>788</v>
      </c>
      <c r="F327" s="1649" t="s">
        <v>5098</v>
      </c>
      <c r="G327" s="1647">
        <v>36</v>
      </c>
      <c r="H327" s="1647" t="s">
        <v>944</v>
      </c>
      <c r="I327" s="1659"/>
      <c r="J327" s="1659" t="s">
        <v>965</v>
      </c>
      <c r="K327" s="1659" t="s">
        <v>977</v>
      </c>
      <c r="L327" s="1654" t="s">
        <v>5027</v>
      </c>
      <c r="M327" s="1652">
        <v>44539</v>
      </c>
    </row>
    <row r="328" spans="1:13" s="1353" customFormat="1" ht="29">
      <c r="A328" s="1647">
        <v>321</v>
      </c>
      <c r="B328" s="1653" t="s">
        <v>1008</v>
      </c>
      <c r="C328" s="1651" t="s">
        <v>1150</v>
      </c>
      <c r="D328" s="1654" t="s">
        <v>604</v>
      </c>
      <c r="E328" s="1654" t="s">
        <v>788</v>
      </c>
      <c r="F328" s="1649" t="s">
        <v>5098</v>
      </c>
      <c r="G328" s="1647">
        <v>36</v>
      </c>
      <c r="H328" s="1647" t="s">
        <v>944</v>
      </c>
      <c r="I328" s="1659"/>
      <c r="J328" s="1659" t="s">
        <v>965</v>
      </c>
      <c r="K328" s="1659" t="s">
        <v>977</v>
      </c>
      <c r="L328" s="1654" t="s">
        <v>5027</v>
      </c>
      <c r="M328" s="1652">
        <v>44539</v>
      </c>
    </row>
    <row r="329" spans="1:13" s="1353" customFormat="1" ht="29">
      <c r="A329" s="1647">
        <v>322</v>
      </c>
      <c r="B329" s="1653" t="s">
        <v>982</v>
      </c>
      <c r="C329" s="1651" t="s">
        <v>1128</v>
      </c>
      <c r="D329" s="1654" t="s">
        <v>604</v>
      </c>
      <c r="E329" s="1654" t="s">
        <v>788</v>
      </c>
      <c r="F329" s="1649" t="s">
        <v>5098</v>
      </c>
      <c r="G329" s="1647">
        <v>36</v>
      </c>
      <c r="H329" s="1647" t="s">
        <v>944</v>
      </c>
      <c r="I329" s="1659"/>
      <c r="J329" s="1659" t="s">
        <v>965</v>
      </c>
      <c r="K329" s="1659" t="s">
        <v>977</v>
      </c>
      <c r="L329" s="1654" t="s">
        <v>5027</v>
      </c>
      <c r="M329" s="1652">
        <v>44539</v>
      </c>
    </row>
    <row r="330" spans="1:13" s="1353" customFormat="1" ht="29">
      <c r="A330" s="1647">
        <v>323</v>
      </c>
      <c r="B330" s="1653" t="s">
        <v>1012</v>
      </c>
      <c r="C330" s="1651" t="s">
        <v>1153</v>
      </c>
      <c r="D330" s="1654" t="s">
        <v>604</v>
      </c>
      <c r="E330" s="1654" t="s">
        <v>788</v>
      </c>
      <c r="F330" s="1649" t="s">
        <v>5098</v>
      </c>
      <c r="G330" s="1647">
        <v>36</v>
      </c>
      <c r="H330" s="1647" t="s">
        <v>944</v>
      </c>
      <c r="I330" s="1659"/>
      <c r="J330" s="1659" t="s">
        <v>965</v>
      </c>
      <c r="K330" s="1659" t="s">
        <v>977</v>
      </c>
      <c r="L330" s="1654" t="s">
        <v>5027</v>
      </c>
      <c r="M330" s="1652">
        <v>44539</v>
      </c>
    </row>
    <row r="331" spans="1:13" s="1356" customFormat="1" ht="29">
      <c r="A331" s="1601">
        <v>324</v>
      </c>
      <c r="B331" s="1602" t="s">
        <v>1015</v>
      </c>
      <c r="C331" s="1603" t="s">
        <v>1156</v>
      </c>
      <c r="D331" s="1603" t="s">
        <v>604</v>
      </c>
      <c r="E331" s="1603" t="s">
        <v>788</v>
      </c>
      <c r="F331" s="1601" t="s">
        <v>5098</v>
      </c>
      <c r="G331" s="1601">
        <v>36</v>
      </c>
      <c r="H331" s="1601" t="s">
        <v>944</v>
      </c>
      <c r="I331" s="1596"/>
      <c r="J331" s="1596" t="s">
        <v>965</v>
      </c>
      <c r="K331" s="1596" t="s">
        <v>977</v>
      </c>
      <c r="L331" s="1603" t="s">
        <v>5027</v>
      </c>
      <c r="M331" s="1604">
        <v>44539</v>
      </c>
    </row>
    <row r="332" spans="1:13" s="1353" customFormat="1" ht="29">
      <c r="A332" s="1647">
        <v>325</v>
      </c>
      <c r="B332" s="1653" t="s">
        <v>1033</v>
      </c>
      <c r="C332" s="1651" t="s">
        <v>1164</v>
      </c>
      <c r="D332" s="1654" t="s">
        <v>1163</v>
      </c>
      <c r="E332" s="1654" t="s">
        <v>788</v>
      </c>
      <c r="F332" s="1649" t="s">
        <v>5098</v>
      </c>
      <c r="G332" s="1647">
        <v>36</v>
      </c>
      <c r="H332" s="1647" t="s">
        <v>944</v>
      </c>
      <c r="I332" s="1659"/>
      <c r="J332" s="1659" t="s">
        <v>965</v>
      </c>
      <c r="K332" s="1659" t="s">
        <v>977</v>
      </c>
      <c r="L332" s="1654" t="s">
        <v>5027</v>
      </c>
      <c r="M332" s="1652">
        <v>44539</v>
      </c>
    </row>
    <row r="333" spans="1:13" s="1356" customFormat="1" ht="52">
      <c r="A333" s="1601">
        <v>326</v>
      </c>
      <c r="B333" s="1602" t="s">
        <v>4952</v>
      </c>
      <c r="C333" s="1602" t="s">
        <v>4952</v>
      </c>
      <c r="D333" s="1602" t="s">
        <v>4952</v>
      </c>
      <c r="E333" s="1603" t="s">
        <v>788</v>
      </c>
      <c r="F333" s="1601" t="s">
        <v>5098</v>
      </c>
      <c r="G333" s="1601">
        <v>115</v>
      </c>
      <c r="H333" s="1661" t="s">
        <v>5120</v>
      </c>
      <c r="I333" s="1596" t="s">
        <v>4986</v>
      </c>
      <c r="J333" s="1497" t="s">
        <v>5121</v>
      </c>
      <c r="K333" s="1497" t="s">
        <v>1907</v>
      </c>
      <c r="L333" s="1603" t="s">
        <v>5122</v>
      </c>
      <c r="M333" s="1604">
        <v>44540</v>
      </c>
    </row>
    <row r="334" spans="1:13" s="1356" customFormat="1" ht="52">
      <c r="A334" s="1601">
        <v>327</v>
      </c>
      <c r="B334" s="1602" t="s">
        <v>4952</v>
      </c>
      <c r="C334" s="1602" t="s">
        <v>4952</v>
      </c>
      <c r="D334" s="1602" t="s">
        <v>4952</v>
      </c>
      <c r="E334" s="1603" t="s">
        <v>788</v>
      </c>
      <c r="F334" s="1601" t="s">
        <v>5098</v>
      </c>
      <c r="G334" s="1601">
        <v>115</v>
      </c>
      <c r="H334" s="1661" t="s">
        <v>5120</v>
      </c>
      <c r="I334" s="1596" t="s">
        <v>4986</v>
      </c>
      <c r="J334" s="1497" t="s">
        <v>5123</v>
      </c>
      <c r="K334" s="1497" t="s">
        <v>1908</v>
      </c>
      <c r="L334" s="1603" t="s">
        <v>5122</v>
      </c>
      <c r="M334" s="1604">
        <v>44540</v>
      </c>
    </row>
    <row r="335" spans="1:13" s="1356" customFormat="1" ht="52">
      <c r="A335" s="1601">
        <v>328</v>
      </c>
      <c r="B335" s="1602" t="s">
        <v>4952</v>
      </c>
      <c r="C335" s="1602" t="s">
        <v>4952</v>
      </c>
      <c r="D335" s="1602" t="s">
        <v>4952</v>
      </c>
      <c r="E335" s="1603" t="s">
        <v>788</v>
      </c>
      <c r="F335" s="1601" t="s">
        <v>5098</v>
      </c>
      <c r="G335" s="1601">
        <v>115</v>
      </c>
      <c r="H335" s="1661" t="s">
        <v>5120</v>
      </c>
      <c r="I335" s="1596" t="s">
        <v>4986</v>
      </c>
      <c r="J335" s="1497" t="s">
        <v>5124</v>
      </c>
      <c r="K335" s="1497" t="s">
        <v>1909</v>
      </c>
      <c r="L335" s="1603" t="s">
        <v>5122</v>
      </c>
      <c r="M335" s="1604">
        <v>44540</v>
      </c>
    </row>
    <row r="336" spans="1:13" s="1356" customFormat="1" ht="52">
      <c r="A336" s="1601">
        <v>329</v>
      </c>
      <c r="B336" s="1602" t="s">
        <v>4952</v>
      </c>
      <c r="C336" s="1602" t="s">
        <v>4952</v>
      </c>
      <c r="D336" s="1602" t="s">
        <v>4952</v>
      </c>
      <c r="E336" s="1603" t="s">
        <v>788</v>
      </c>
      <c r="F336" s="1601" t="s">
        <v>5098</v>
      </c>
      <c r="G336" s="1601">
        <v>119</v>
      </c>
      <c r="H336" s="1661" t="s">
        <v>5125</v>
      </c>
      <c r="I336" s="1596" t="s">
        <v>4986</v>
      </c>
      <c r="J336" s="1497" t="s">
        <v>5126</v>
      </c>
      <c r="K336" s="1497" t="s">
        <v>1911</v>
      </c>
      <c r="L336" s="1603" t="s">
        <v>5122</v>
      </c>
      <c r="M336" s="1604">
        <v>44540</v>
      </c>
    </row>
    <row r="337" spans="1:13" s="1356" customFormat="1" ht="52">
      <c r="A337" s="1601">
        <v>330</v>
      </c>
      <c r="B337" s="1602" t="s">
        <v>4952</v>
      </c>
      <c r="C337" s="1602" t="s">
        <v>4952</v>
      </c>
      <c r="D337" s="1602" t="s">
        <v>4952</v>
      </c>
      <c r="E337" s="1603" t="s">
        <v>788</v>
      </c>
      <c r="F337" s="1601" t="s">
        <v>5098</v>
      </c>
      <c r="G337" s="1601">
        <v>119</v>
      </c>
      <c r="H337" s="1661" t="s">
        <v>5125</v>
      </c>
      <c r="I337" s="1596" t="s">
        <v>4986</v>
      </c>
      <c r="J337" s="1497" t="s">
        <v>5127</v>
      </c>
      <c r="K337" s="1497" t="s">
        <v>1912</v>
      </c>
      <c r="L337" s="1603" t="s">
        <v>5122</v>
      </c>
      <c r="M337" s="1604">
        <v>44540</v>
      </c>
    </row>
    <row r="338" spans="1:13" s="1356" customFormat="1" ht="52">
      <c r="A338" s="1601">
        <v>331</v>
      </c>
      <c r="B338" s="1602" t="s">
        <v>4952</v>
      </c>
      <c r="C338" s="1602" t="s">
        <v>4952</v>
      </c>
      <c r="D338" s="1602" t="s">
        <v>4952</v>
      </c>
      <c r="E338" s="1603" t="s">
        <v>788</v>
      </c>
      <c r="F338" s="1601" t="s">
        <v>5098</v>
      </c>
      <c r="G338" s="1601">
        <v>119</v>
      </c>
      <c r="H338" s="1661" t="s">
        <v>5125</v>
      </c>
      <c r="I338" s="1596" t="s">
        <v>4986</v>
      </c>
      <c r="J338" s="1497" t="s">
        <v>5128</v>
      </c>
      <c r="K338" s="1497" t="s">
        <v>1913</v>
      </c>
      <c r="L338" s="1603" t="s">
        <v>5122</v>
      </c>
      <c r="M338" s="1604">
        <v>44540</v>
      </c>
    </row>
    <row r="339" spans="1:13" s="1353" customFormat="1" ht="14.5">
      <c r="A339" s="1647">
        <v>332</v>
      </c>
      <c r="B339" s="1653" t="s">
        <v>990</v>
      </c>
      <c r="C339" s="1651" t="s">
        <v>2511</v>
      </c>
      <c r="D339" s="1653" t="s">
        <v>5031</v>
      </c>
      <c r="E339" s="1654" t="s">
        <v>4903</v>
      </c>
      <c r="F339" s="1649" t="s">
        <v>5098</v>
      </c>
      <c r="G339" s="1647">
        <v>105</v>
      </c>
      <c r="H339" s="1648" t="s">
        <v>1861</v>
      </c>
      <c r="I339" s="1649" t="s">
        <v>968</v>
      </c>
      <c r="J339" s="1662">
        <v>37.700000000000003</v>
      </c>
      <c r="K339" s="1662" t="s">
        <v>4797</v>
      </c>
      <c r="L339" s="1654" t="s">
        <v>5024</v>
      </c>
      <c r="M339" s="1652">
        <v>44545</v>
      </c>
    </row>
    <row r="340" spans="1:13" s="1353" customFormat="1" ht="14.5">
      <c r="A340" s="1647">
        <v>333</v>
      </c>
      <c r="B340" s="1653" t="s">
        <v>990</v>
      </c>
      <c r="C340" s="1651" t="s">
        <v>2511</v>
      </c>
      <c r="D340" s="1653" t="s">
        <v>5031</v>
      </c>
      <c r="E340" s="1654" t="s">
        <v>4903</v>
      </c>
      <c r="F340" s="1649" t="s">
        <v>5098</v>
      </c>
      <c r="G340" s="1647">
        <v>105</v>
      </c>
      <c r="H340" s="1648" t="s">
        <v>1861</v>
      </c>
      <c r="I340" s="1649" t="s">
        <v>980</v>
      </c>
      <c r="J340" s="1662">
        <v>38.299999999999997</v>
      </c>
      <c r="K340" s="1662" t="s">
        <v>4797</v>
      </c>
      <c r="L340" s="1654" t="s">
        <v>5024</v>
      </c>
      <c r="M340" s="1652">
        <v>44545</v>
      </c>
    </row>
    <row r="341" spans="1:13" s="1353" customFormat="1" ht="14.5">
      <c r="A341" s="1647">
        <v>334</v>
      </c>
      <c r="B341" s="1653" t="s">
        <v>990</v>
      </c>
      <c r="C341" s="1651" t="s">
        <v>2511</v>
      </c>
      <c r="D341" s="1653" t="s">
        <v>5031</v>
      </c>
      <c r="E341" s="1654" t="s">
        <v>4903</v>
      </c>
      <c r="F341" s="1649" t="s">
        <v>5098</v>
      </c>
      <c r="G341" s="1647">
        <v>105</v>
      </c>
      <c r="H341" s="1648" t="s">
        <v>1861</v>
      </c>
      <c r="I341" s="1649" t="s">
        <v>985</v>
      </c>
      <c r="J341" s="1662">
        <v>39.200000000000003</v>
      </c>
      <c r="K341" s="1662" t="s">
        <v>4797</v>
      </c>
      <c r="L341" s="1654" t="s">
        <v>5024</v>
      </c>
      <c r="M341" s="1652">
        <v>44545</v>
      </c>
    </row>
    <row r="342" spans="1:13" s="1353" customFormat="1" ht="14.5">
      <c r="A342" s="1647">
        <v>335</v>
      </c>
      <c r="B342" s="1653" t="s">
        <v>990</v>
      </c>
      <c r="C342" s="1651" t="s">
        <v>2511</v>
      </c>
      <c r="D342" s="1653" t="s">
        <v>5031</v>
      </c>
      <c r="E342" s="1654" t="s">
        <v>4903</v>
      </c>
      <c r="F342" s="1649" t="s">
        <v>5098</v>
      </c>
      <c r="G342" s="1647">
        <v>105</v>
      </c>
      <c r="H342" s="1648" t="s">
        <v>1861</v>
      </c>
      <c r="I342" s="1649" t="s">
        <v>958</v>
      </c>
      <c r="J342" s="1662">
        <v>40.299999999999997</v>
      </c>
      <c r="K342" s="1662" t="s">
        <v>4797</v>
      </c>
      <c r="L342" s="1654" t="s">
        <v>5024</v>
      </c>
      <c r="M342" s="1652">
        <v>44545</v>
      </c>
    </row>
    <row r="343" spans="1:13" s="1353" customFormat="1" ht="14.5">
      <c r="A343" s="1647">
        <v>336</v>
      </c>
      <c r="B343" s="1653" t="s">
        <v>990</v>
      </c>
      <c r="C343" s="1651" t="s">
        <v>2511</v>
      </c>
      <c r="D343" s="1653" t="s">
        <v>5031</v>
      </c>
      <c r="E343" s="1654" t="s">
        <v>4903</v>
      </c>
      <c r="F343" s="1649" t="s">
        <v>5098</v>
      </c>
      <c r="G343" s="1647">
        <v>105</v>
      </c>
      <c r="H343" s="1648" t="s">
        <v>1861</v>
      </c>
      <c r="I343" s="1649" t="s">
        <v>970</v>
      </c>
      <c r="J343" s="1662">
        <v>42.2</v>
      </c>
      <c r="K343" s="1662" t="s">
        <v>4797</v>
      </c>
      <c r="L343" s="1654" t="s">
        <v>5024</v>
      </c>
      <c r="M343" s="1652">
        <v>44545</v>
      </c>
    </row>
    <row r="344" spans="1:13" s="1353" customFormat="1" ht="14.5">
      <c r="A344" s="1647">
        <v>337</v>
      </c>
      <c r="B344" s="1648" t="s">
        <v>972</v>
      </c>
      <c r="C344" s="1648" t="s">
        <v>2075</v>
      </c>
      <c r="D344" s="1654" t="s">
        <v>154</v>
      </c>
      <c r="E344" s="1654" t="s">
        <v>788</v>
      </c>
      <c r="F344" s="1647" t="s">
        <v>5098</v>
      </c>
      <c r="G344" s="1647">
        <v>105</v>
      </c>
      <c r="H344" s="1663" t="s">
        <v>1861</v>
      </c>
      <c r="I344" s="1649" t="s">
        <v>968</v>
      </c>
      <c r="J344" s="1664" t="s">
        <v>5129</v>
      </c>
      <c r="K344" s="1665">
        <v>3.9004629629629632E-3</v>
      </c>
      <c r="L344" s="1654" t="s">
        <v>5130</v>
      </c>
      <c r="M344" s="1652">
        <v>44547</v>
      </c>
    </row>
    <row r="345" spans="1:13" s="1353" customFormat="1" ht="14.5">
      <c r="A345" s="1647">
        <v>338</v>
      </c>
      <c r="B345" s="1648" t="s">
        <v>972</v>
      </c>
      <c r="C345" s="1648" t="s">
        <v>2075</v>
      </c>
      <c r="D345" s="1654" t="s">
        <v>154</v>
      </c>
      <c r="E345" s="1654" t="s">
        <v>788</v>
      </c>
      <c r="F345" s="1647" t="s">
        <v>5098</v>
      </c>
      <c r="G345" s="1647">
        <v>105</v>
      </c>
      <c r="H345" s="1663" t="s">
        <v>1861</v>
      </c>
      <c r="I345" s="1649" t="s">
        <v>985</v>
      </c>
      <c r="J345" s="1664" t="s">
        <v>5131</v>
      </c>
      <c r="K345" s="1665">
        <v>2.8356481481481479E-3</v>
      </c>
      <c r="L345" s="1654" t="s">
        <v>5130</v>
      </c>
      <c r="M345" s="1652">
        <v>44547</v>
      </c>
    </row>
    <row r="346" spans="1:13" s="1353" customFormat="1" ht="14.5">
      <c r="A346" s="1647">
        <v>339</v>
      </c>
      <c r="B346" s="1648" t="s">
        <v>972</v>
      </c>
      <c r="C346" s="1648" t="s">
        <v>2075</v>
      </c>
      <c r="D346" s="1654" t="s">
        <v>154</v>
      </c>
      <c r="E346" s="1654" t="s">
        <v>788</v>
      </c>
      <c r="F346" s="1647" t="s">
        <v>5098</v>
      </c>
      <c r="G346" s="1647">
        <v>105</v>
      </c>
      <c r="H346" s="1663" t="s">
        <v>1861</v>
      </c>
      <c r="I346" s="1649" t="s">
        <v>958</v>
      </c>
      <c r="J346" s="1664" t="s">
        <v>5132</v>
      </c>
      <c r="K346" s="1665">
        <v>2.2800925925925927E-3</v>
      </c>
      <c r="L346" s="1654" t="s">
        <v>5130</v>
      </c>
      <c r="M346" s="1652">
        <v>44547</v>
      </c>
    </row>
    <row r="347" spans="1:13" s="1353" customFormat="1" ht="14.5">
      <c r="A347" s="1647">
        <v>340</v>
      </c>
      <c r="B347" s="1648" t="s">
        <v>972</v>
      </c>
      <c r="C347" s="1648" t="s">
        <v>2075</v>
      </c>
      <c r="D347" s="1654" t="s">
        <v>154</v>
      </c>
      <c r="E347" s="1654" t="s">
        <v>788</v>
      </c>
      <c r="F347" s="1647" t="s">
        <v>5098</v>
      </c>
      <c r="G347" s="1647">
        <v>105</v>
      </c>
      <c r="H347" s="1663" t="s">
        <v>1861</v>
      </c>
      <c r="I347" s="1649" t="s">
        <v>970</v>
      </c>
      <c r="J347" s="1664" t="s">
        <v>5133</v>
      </c>
      <c r="K347" s="1665">
        <v>1.689814814814815E-3</v>
      </c>
      <c r="L347" s="1654" t="s">
        <v>5130</v>
      </c>
      <c r="M347" s="1652">
        <v>44547</v>
      </c>
    </row>
    <row r="348" spans="1:13" s="1353" customFormat="1" ht="14.5">
      <c r="A348" s="1647">
        <v>341</v>
      </c>
      <c r="B348" s="1648" t="s">
        <v>990</v>
      </c>
      <c r="C348" s="1648" t="s">
        <v>2507</v>
      </c>
      <c r="D348" s="1654" t="s">
        <v>154</v>
      </c>
      <c r="E348" s="1654" t="s">
        <v>788</v>
      </c>
      <c r="F348" s="1647" t="s">
        <v>5098</v>
      </c>
      <c r="G348" s="1647">
        <v>85</v>
      </c>
      <c r="H348" s="1663" t="s">
        <v>1857</v>
      </c>
      <c r="I348" s="1647" t="s">
        <v>968</v>
      </c>
      <c r="J348" s="1666" t="s">
        <v>5134</v>
      </c>
      <c r="K348" s="1665">
        <v>1.3391203703703704E-2</v>
      </c>
      <c r="L348" s="1654" t="s">
        <v>5130</v>
      </c>
      <c r="M348" s="1652">
        <v>44547</v>
      </c>
    </row>
    <row r="349" spans="1:13" s="1353" customFormat="1" ht="14.5">
      <c r="A349" s="1647">
        <v>342</v>
      </c>
      <c r="B349" s="1648" t="s">
        <v>990</v>
      </c>
      <c r="C349" s="1648" t="s">
        <v>2507</v>
      </c>
      <c r="D349" s="1654" t="s">
        <v>154</v>
      </c>
      <c r="E349" s="1654" t="s">
        <v>788</v>
      </c>
      <c r="F349" s="1647" t="s">
        <v>5098</v>
      </c>
      <c r="G349" s="1647">
        <v>85</v>
      </c>
      <c r="H349" s="1647" t="s">
        <v>1857</v>
      </c>
      <c r="I349" s="1647" t="s">
        <v>980</v>
      </c>
      <c r="J349" s="1667" t="s">
        <v>5134</v>
      </c>
      <c r="K349" s="1665">
        <v>1.3391203703703704E-2</v>
      </c>
      <c r="L349" s="1654" t="s">
        <v>5130</v>
      </c>
      <c r="M349" s="1652">
        <v>44547</v>
      </c>
    </row>
    <row r="350" spans="1:13" s="1353" customFormat="1" ht="14.5">
      <c r="A350" s="1647">
        <v>343</v>
      </c>
      <c r="B350" s="1648" t="s">
        <v>990</v>
      </c>
      <c r="C350" s="1648" t="s">
        <v>2507</v>
      </c>
      <c r="D350" s="1654" t="s">
        <v>154</v>
      </c>
      <c r="E350" s="1654" t="s">
        <v>788</v>
      </c>
      <c r="F350" s="1647" t="s">
        <v>5098</v>
      </c>
      <c r="G350" s="1647">
        <v>85</v>
      </c>
      <c r="H350" s="1647" t="s">
        <v>1857</v>
      </c>
      <c r="I350" s="1647" t="s">
        <v>985</v>
      </c>
      <c r="J350" s="1667" t="s">
        <v>5134</v>
      </c>
      <c r="K350" s="1665">
        <v>1.3391203703703704E-2</v>
      </c>
      <c r="L350" s="1654" t="s">
        <v>5130</v>
      </c>
      <c r="M350" s="1652">
        <v>44547</v>
      </c>
    </row>
    <row r="351" spans="1:13" s="1353" customFormat="1" ht="14.5">
      <c r="A351" s="1647">
        <v>344</v>
      </c>
      <c r="B351" s="1648" t="s">
        <v>990</v>
      </c>
      <c r="C351" s="1648" t="s">
        <v>2507</v>
      </c>
      <c r="D351" s="1654" t="s">
        <v>154</v>
      </c>
      <c r="E351" s="1654" t="s">
        <v>788</v>
      </c>
      <c r="F351" s="1647" t="s">
        <v>5098</v>
      </c>
      <c r="G351" s="1647">
        <v>85</v>
      </c>
      <c r="H351" s="1647" t="s">
        <v>1857</v>
      </c>
      <c r="I351" s="1647" t="s">
        <v>958</v>
      </c>
      <c r="J351" s="1667" t="s">
        <v>5134</v>
      </c>
      <c r="K351" s="1665">
        <v>1.3391203703703704E-2</v>
      </c>
      <c r="L351" s="1654" t="s">
        <v>5130</v>
      </c>
      <c r="M351" s="1652">
        <v>44547</v>
      </c>
    </row>
    <row r="352" spans="1:13" s="1353" customFormat="1" ht="14.5">
      <c r="A352" s="1647">
        <v>345</v>
      </c>
      <c r="B352" s="1648" t="s">
        <v>990</v>
      </c>
      <c r="C352" s="1648" t="s">
        <v>2507</v>
      </c>
      <c r="D352" s="1654" t="s">
        <v>154</v>
      </c>
      <c r="E352" s="1654" t="s">
        <v>788</v>
      </c>
      <c r="F352" s="1647" t="s">
        <v>5098</v>
      </c>
      <c r="G352" s="1647">
        <v>85</v>
      </c>
      <c r="H352" s="1647" t="s">
        <v>1857</v>
      </c>
      <c r="I352" s="1647" t="s">
        <v>970</v>
      </c>
      <c r="J352" s="1667" t="s">
        <v>5134</v>
      </c>
      <c r="K352" s="1665">
        <v>1.3391203703703704E-2</v>
      </c>
      <c r="L352" s="1654" t="s">
        <v>5130</v>
      </c>
      <c r="M352" s="1652">
        <v>44547</v>
      </c>
    </row>
    <row r="353" spans="1:13" s="1353" customFormat="1" ht="14.5">
      <c r="A353" s="1647">
        <v>346</v>
      </c>
      <c r="B353" s="1648" t="s">
        <v>990</v>
      </c>
      <c r="C353" s="1648" t="s">
        <v>2507</v>
      </c>
      <c r="D353" s="1654" t="s">
        <v>154</v>
      </c>
      <c r="E353" s="1654" t="s">
        <v>788</v>
      </c>
      <c r="F353" s="1647" t="s">
        <v>5098</v>
      </c>
      <c r="G353" s="1647">
        <v>90</v>
      </c>
      <c r="H353" s="1663" t="s">
        <v>1858</v>
      </c>
      <c r="I353" s="1647" t="s">
        <v>968</v>
      </c>
      <c r="J353" s="1666" t="s">
        <v>5135</v>
      </c>
      <c r="K353" s="1665">
        <v>1.1793981481481482E-2</v>
      </c>
      <c r="L353" s="1654" t="s">
        <v>5130</v>
      </c>
      <c r="M353" s="1652">
        <v>44547</v>
      </c>
    </row>
    <row r="354" spans="1:13" s="1353" customFormat="1" ht="14.5">
      <c r="A354" s="1647">
        <v>347</v>
      </c>
      <c r="B354" s="1648" t="s">
        <v>990</v>
      </c>
      <c r="C354" s="1648" t="s">
        <v>2507</v>
      </c>
      <c r="D354" s="1654" t="s">
        <v>154</v>
      </c>
      <c r="E354" s="1654" t="s">
        <v>788</v>
      </c>
      <c r="F354" s="1647" t="s">
        <v>5098</v>
      </c>
      <c r="G354" s="1647">
        <v>90</v>
      </c>
      <c r="H354" s="1663" t="s">
        <v>1858</v>
      </c>
      <c r="I354" s="1647" t="s">
        <v>980</v>
      </c>
      <c r="J354" s="1666" t="s">
        <v>5135</v>
      </c>
      <c r="K354" s="1665">
        <v>1.1793981481481482E-2</v>
      </c>
      <c r="L354" s="1654" t="s">
        <v>5130</v>
      </c>
      <c r="M354" s="1652">
        <v>44547</v>
      </c>
    </row>
    <row r="355" spans="1:13" s="1353" customFormat="1" ht="14.5">
      <c r="A355" s="1647">
        <v>348</v>
      </c>
      <c r="B355" s="1648" t="s">
        <v>990</v>
      </c>
      <c r="C355" s="1648" t="s">
        <v>2507</v>
      </c>
      <c r="D355" s="1654" t="s">
        <v>154</v>
      </c>
      <c r="E355" s="1654" t="s">
        <v>788</v>
      </c>
      <c r="F355" s="1647" t="s">
        <v>5098</v>
      </c>
      <c r="G355" s="1647">
        <v>90</v>
      </c>
      <c r="H355" s="1663" t="s">
        <v>1858</v>
      </c>
      <c r="I355" s="1647" t="s">
        <v>985</v>
      </c>
      <c r="J355" s="1666" t="s">
        <v>5135</v>
      </c>
      <c r="K355" s="1665">
        <v>1.1793981481481482E-2</v>
      </c>
      <c r="L355" s="1654" t="s">
        <v>5130</v>
      </c>
      <c r="M355" s="1652">
        <v>44547</v>
      </c>
    </row>
    <row r="356" spans="1:13" s="1353" customFormat="1" ht="14.5">
      <c r="A356" s="1647">
        <v>349</v>
      </c>
      <c r="B356" s="1648" t="s">
        <v>990</v>
      </c>
      <c r="C356" s="1648" t="s">
        <v>2507</v>
      </c>
      <c r="D356" s="1654" t="s">
        <v>154</v>
      </c>
      <c r="E356" s="1654" t="s">
        <v>788</v>
      </c>
      <c r="F356" s="1647" t="s">
        <v>5098</v>
      </c>
      <c r="G356" s="1647">
        <v>90</v>
      </c>
      <c r="H356" s="1663" t="s">
        <v>1858</v>
      </c>
      <c r="I356" s="1647" t="s">
        <v>958</v>
      </c>
      <c r="J356" s="1666" t="s">
        <v>5135</v>
      </c>
      <c r="K356" s="1665">
        <v>1.1793981481481482E-2</v>
      </c>
      <c r="L356" s="1654" t="s">
        <v>5130</v>
      </c>
      <c r="M356" s="1652">
        <v>44547</v>
      </c>
    </row>
    <row r="357" spans="1:13" s="1353" customFormat="1" ht="14.5">
      <c r="A357" s="1647">
        <v>350</v>
      </c>
      <c r="B357" s="1653" t="s">
        <v>990</v>
      </c>
      <c r="C357" s="1648" t="s">
        <v>2507</v>
      </c>
      <c r="D357" s="1654" t="s">
        <v>154</v>
      </c>
      <c r="E357" s="1654" t="s">
        <v>788</v>
      </c>
      <c r="F357" s="1647" t="s">
        <v>5098</v>
      </c>
      <c r="G357" s="1647">
        <v>90</v>
      </c>
      <c r="H357" s="1663" t="s">
        <v>1858</v>
      </c>
      <c r="I357" s="1647" t="s">
        <v>970</v>
      </c>
      <c r="J357" s="1666" t="s">
        <v>5135</v>
      </c>
      <c r="K357" s="1665">
        <v>1.1793981481481482E-2</v>
      </c>
      <c r="L357" s="1654" t="s">
        <v>5130</v>
      </c>
      <c r="M357" s="1652">
        <v>44547</v>
      </c>
    </row>
    <row r="358" spans="1:13" s="1353" customFormat="1" ht="14.5">
      <c r="A358" s="1647">
        <v>351</v>
      </c>
      <c r="B358" s="1653" t="s">
        <v>990</v>
      </c>
      <c r="C358" s="1648" t="s">
        <v>2507</v>
      </c>
      <c r="D358" s="1654" t="s">
        <v>154</v>
      </c>
      <c r="E358" s="1654" t="s">
        <v>788</v>
      </c>
      <c r="F358" s="1647" t="s">
        <v>5098</v>
      </c>
      <c r="G358" s="1647">
        <v>105</v>
      </c>
      <c r="H358" s="1663" t="s">
        <v>1861</v>
      </c>
      <c r="I358" s="1647" t="s">
        <v>968</v>
      </c>
      <c r="J358" s="1666" t="s">
        <v>5136</v>
      </c>
      <c r="K358" s="1665">
        <v>1.8287037037037037E-3</v>
      </c>
      <c r="L358" s="1654" t="s">
        <v>5130</v>
      </c>
      <c r="M358" s="1652">
        <v>44547</v>
      </c>
    </row>
    <row r="359" spans="1:13" s="1353" customFormat="1" ht="14.5">
      <c r="A359" s="1647">
        <v>352</v>
      </c>
      <c r="B359" s="1653" t="s">
        <v>990</v>
      </c>
      <c r="C359" s="1648" t="s">
        <v>2507</v>
      </c>
      <c r="D359" s="1654" t="s">
        <v>154</v>
      </c>
      <c r="E359" s="1654" t="s">
        <v>788</v>
      </c>
      <c r="F359" s="1647" t="s">
        <v>5098</v>
      </c>
      <c r="G359" s="1647">
        <v>105</v>
      </c>
      <c r="H359" s="1663" t="s">
        <v>1861</v>
      </c>
      <c r="I359" s="1647" t="s">
        <v>980</v>
      </c>
      <c r="J359" s="1666" t="s">
        <v>5137</v>
      </c>
      <c r="K359" s="1665">
        <v>1.689814814814815E-3</v>
      </c>
      <c r="L359" s="1654" t="s">
        <v>5130</v>
      </c>
      <c r="M359" s="1652">
        <v>44547</v>
      </c>
    </row>
    <row r="360" spans="1:13" s="1353" customFormat="1" ht="14.5">
      <c r="A360" s="1647">
        <v>353</v>
      </c>
      <c r="B360" s="1653" t="s">
        <v>990</v>
      </c>
      <c r="C360" s="1648" t="s">
        <v>2507</v>
      </c>
      <c r="D360" s="1654" t="s">
        <v>154</v>
      </c>
      <c r="E360" s="1654" t="s">
        <v>788</v>
      </c>
      <c r="F360" s="1647" t="s">
        <v>5098</v>
      </c>
      <c r="G360" s="1647">
        <v>105</v>
      </c>
      <c r="H360" s="1663" t="s">
        <v>1861</v>
      </c>
      <c r="I360" s="1647" t="s">
        <v>985</v>
      </c>
      <c r="J360" s="1666" t="s">
        <v>5138</v>
      </c>
      <c r="K360" s="1665">
        <v>1.5624999999999999E-3</v>
      </c>
      <c r="L360" s="1654" t="s">
        <v>5130</v>
      </c>
      <c r="M360" s="1652">
        <v>44547</v>
      </c>
    </row>
    <row r="361" spans="1:13" s="1353" customFormat="1" ht="14.5">
      <c r="A361" s="1647">
        <v>354</v>
      </c>
      <c r="B361" s="1653" t="s">
        <v>990</v>
      </c>
      <c r="C361" s="1648" t="s">
        <v>2507</v>
      </c>
      <c r="D361" s="1654" t="s">
        <v>154</v>
      </c>
      <c r="E361" s="1654" t="s">
        <v>788</v>
      </c>
      <c r="F361" s="1647" t="s">
        <v>5098</v>
      </c>
      <c r="G361" s="1647">
        <v>105</v>
      </c>
      <c r="H361" s="1663" t="s">
        <v>1861</v>
      </c>
      <c r="I361" s="1647" t="s">
        <v>958</v>
      </c>
      <c r="J361" s="1668" t="s">
        <v>5139</v>
      </c>
      <c r="K361" s="1665">
        <v>1.4351851851851854E-3</v>
      </c>
      <c r="L361" s="1654" t="s">
        <v>5130</v>
      </c>
      <c r="M361" s="1652">
        <v>44547</v>
      </c>
    </row>
    <row r="362" spans="1:13" s="1353" customFormat="1" ht="14.5">
      <c r="A362" s="1647">
        <v>355</v>
      </c>
      <c r="B362" s="1648" t="s">
        <v>1029</v>
      </c>
      <c r="C362" s="1648" t="s">
        <v>2838</v>
      </c>
      <c r="D362" s="1654" t="s">
        <v>154</v>
      </c>
      <c r="E362" s="1654" t="s">
        <v>788</v>
      </c>
      <c r="F362" s="1647" t="s">
        <v>5098</v>
      </c>
      <c r="G362" s="1647">
        <v>85</v>
      </c>
      <c r="H362" s="1663" t="s">
        <v>1857</v>
      </c>
      <c r="I362" s="1647" t="s">
        <v>968</v>
      </c>
      <c r="J362" s="1666" t="s">
        <v>5134</v>
      </c>
      <c r="K362" s="1665">
        <v>1.3391203703703704E-2</v>
      </c>
      <c r="L362" s="1654" t="s">
        <v>5130</v>
      </c>
      <c r="M362" s="1652">
        <v>44547</v>
      </c>
    </row>
    <row r="363" spans="1:13" s="1353" customFormat="1" ht="14.5">
      <c r="A363" s="1647">
        <v>356</v>
      </c>
      <c r="B363" s="1648" t="s">
        <v>1029</v>
      </c>
      <c r="C363" s="1648" t="s">
        <v>2838</v>
      </c>
      <c r="D363" s="1654" t="s">
        <v>154</v>
      </c>
      <c r="E363" s="1654" t="s">
        <v>788</v>
      </c>
      <c r="F363" s="1647" t="s">
        <v>5098</v>
      </c>
      <c r="G363" s="1647">
        <v>85</v>
      </c>
      <c r="H363" s="1647" t="s">
        <v>1857</v>
      </c>
      <c r="I363" s="1647" t="s">
        <v>980</v>
      </c>
      <c r="J363" s="1667" t="s">
        <v>5134</v>
      </c>
      <c r="K363" s="1665">
        <v>1.3391203703703704E-2</v>
      </c>
      <c r="L363" s="1654" t="s">
        <v>5130</v>
      </c>
      <c r="M363" s="1652">
        <v>44547</v>
      </c>
    </row>
    <row r="364" spans="1:13" s="1353" customFormat="1" ht="14.5">
      <c r="A364" s="1647">
        <v>357</v>
      </c>
      <c r="B364" s="1648" t="s">
        <v>1029</v>
      </c>
      <c r="C364" s="1648" t="s">
        <v>2838</v>
      </c>
      <c r="D364" s="1654" t="s">
        <v>154</v>
      </c>
      <c r="E364" s="1654" t="s">
        <v>788</v>
      </c>
      <c r="F364" s="1647" t="s">
        <v>5098</v>
      </c>
      <c r="G364" s="1647">
        <v>85</v>
      </c>
      <c r="H364" s="1647" t="s">
        <v>1857</v>
      </c>
      <c r="I364" s="1647" t="s">
        <v>985</v>
      </c>
      <c r="J364" s="1667" t="s">
        <v>5134</v>
      </c>
      <c r="K364" s="1665">
        <v>1.3391203703703704E-2</v>
      </c>
      <c r="L364" s="1654" t="s">
        <v>5130</v>
      </c>
      <c r="M364" s="1652">
        <v>44547</v>
      </c>
    </row>
    <row r="365" spans="1:13" s="1353" customFormat="1" ht="14.5">
      <c r="A365" s="1647">
        <v>358</v>
      </c>
      <c r="B365" s="1648" t="s">
        <v>1029</v>
      </c>
      <c r="C365" s="1648" t="s">
        <v>2838</v>
      </c>
      <c r="D365" s="1654" t="s">
        <v>154</v>
      </c>
      <c r="E365" s="1654" t="s">
        <v>788</v>
      </c>
      <c r="F365" s="1647" t="s">
        <v>5098</v>
      </c>
      <c r="G365" s="1647">
        <v>85</v>
      </c>
      <c r="H365" s="1647" t="s">
        <v>1857</v>
      </c>
      <c r="I365" s="1647" t="s">
        <v>958</v>
      </c>
      <c r="J365" s="1667" t="s">
        <v>5134</v>
      </c>
      <c r="K365" s="1665">
        <v>1.3391203703703704E-2</v>
      </c>
      <c r="L365" s="1654" t="s">
        <v>5130</v>
      </c>
      <c r="M365" s="1652">
        <v>44547</v>
      </c>
    </row>
    <row r="366" spans="1:13" s="1353" customFormat="1" ht="14.5">
      <c r="A366" s="1647">
        <v>359</v>
      </c>
      <c r="B366" s="1648" t="s">
        <v>1029</v>
      </c>
      <c r="C366" s="1648" t="s">
        <v>2838</v>
      </c>
      <c r="D366" s="1654" t="s">
        <v>154</v>
      </c>
      <c r="E366" s="1654" t="s">
        <v>788</v>
      </c>
      <c r="F366" s="1647" t="s">
        <v>5098</v>
      </c>
      <c r="G366" s="1647">
        <v>85</v>
      </c>
      <c r="H366" s="1647" t="s">
        <v>1857</v>
      </c>
      <c r="I366" s="1647" t="s">
        <v>970</v>
      </c>
      <c r="J366" s="1667" t="s">
        <v>5134</v>
      </c>
      <c r="K366" s="1665">
        <v>1.3391203703703704E-2</v>
      </c>
      <c r="L366" s="1654" t="s">
        <v>5130</v>
      </c>
      <c r="M366" s="1652">
        <v>44547</v>
      </c>
    </row>
    <row r="367" spans="1:13" s="1353" customFormat="1" ht="14.5">
      <c r="A367" s="1647">
        <v>360</v>
      </c>
      <c r="B367" s="1648" t="s">
        <v>1029</v>
      </c>
      <c r="C367" s="1648" t="s">
        <v>2838</v>
      </c>
      <c r="D367" s="1654" t="s">
        <v>154</v>
      </c>
      <c r="E367" s="1654" t="s">
        <v>788</v>
      </c>
      <c r="F367" s="1647" t="s">
        <v>5098</v>
      </c>
      <c r="G367" s="1647">
        <v>90</v>
      </c>
      <c r="H367" s="1663" t="s">
        <v>1858</v>
      </c>
      <c r="I367" s="1647" t="s">
        <v>968</v>
      </c>
      <c r="J367" s="1666" t="s">
        <v>5135</v>
      </c>
      <c r="K367" s="1665">
        <v>1.1793981481481482E-2</v>
      </c>
      <c r="L367" s="1654" t="s">
        <v>5130</v>
      </c>
      <c r="M367" s="1652">
        <v>44547</v>
      </c>
    </row>
    <row r="368" spans="1:13" s="1353" customFormat="1" ht="14.5">
      <c r="A368" s="1647">
        <v>361</v>
      </c>
      <c r="B368" s="1648" t="s">
        <v>1029</v>
      </c>
      <c r="C368" s="1648" t="s">
        <v>2838</v>
      </c>
      <c r="D368" s="1654" t="s">
        <v>154</v>
      </c>
      <c r="E368" s="1654" t="s">
        <v>788</v>
      </c>
      <c r="F368" s="1647" t="s">
        <v>5098</v>
      </c>
      <c r="G368" s="1647">
        <v>90</v>
      </c>
      <c r="H368" s="1663" t="s">
        <v>1858</v>
      </c>
      <c r="I368" s="1647" t="s">
        <v>980</v>
      </c>
      <c r="J368" s="1666" t="s">
        <v>5135</v>
      </c>
      <c r="K368" s="1665">
        <v>1.1793981481481482E-2</v>
      </c>
      <c r="L368" s="1654" t="s">
        <v>5130</v>
      </c>
      <c r="M368" s="1652">
        <v>44547</v>
      </c>
    </row>
    <row r="369" spans="1:13" s="1353" customFormat="1" ht="14.5">
      <c r="A369" s="1647">
        <v>362</v>
      </c>
      <c r="B369" s="1648" t="s">
        <v>1029</v>
      </c>
      <c r="C369" s="1648" t="s">
        <v>2838</v>
      </c>
      <c r="D369" s="1654" t="s">
        <v>154</v>
      </c>
      <c r="E369" s="1654" t="s">
        <v>788</v>
      </c>
      <c r="F369" s="1647" t="s">
        <v>5098</v>
      </c>
      <c r="G369" s="1647">
        <v>90</v>
      </c>
      <c r="H369" s="1663" t="s">
        <v>1858</v>
      </c>
      <c r="I369" s="1647" t="s">
        <v>985</v>
      </c>
      <c r="J369" s="1666" t="s">
        <v>5135</v>
      </c>
      <c r="K369" s="1665">
        <v>1.1793981481481482E-2</v>
      </c>
      <c r="L369" s="1654" t="s">
        <v>5130</v>
      </c>
      <c r="M369" s="1652">
        <v>44547</v>
      </c>
    </row>
    <row r="370" spans="1:13" s="1353" customFormat="1" ht="14.5">
      <c r="A370" s="1647">
        <v>363</v>
      </c>
      <c r="B370" s="1648" t="s">
        <v>1029</v>
      </c>
      <c r="C370" s="1648" t="s">
        <v>2838</v>
      </c>
      <c r="D370" s="1654" t="s">
        <v>154</v>
      </c>
      <c r="E370" s="1654" t="s">
        <v>788</v>
      </c>
      <c r="F370" s="1647" t="s">
        <v>5098</v>
      </c>
      <c r="G370" s="1647">
        <v>90</v>
      </c>
      <c r="H370" s="1663" t="s">
        <v>1858</v>
      </c>
      <c r="I370" s="1647" t="s">
        <v>958</v>
      </c>
      <c r="J370" s="1666" t="s">
        <v>5135</v>
      </c>
      <c r="K370" s="1665">
        <v>1.1793981481481482E-2</v>
      </c>
      <c r="L370" s="1654" t="s">
        <v>5130</v>
      </c>
      <c r="M370" s="1652">
        <v>44547</v>
      </c>
    </row>
    <row r="371" spans="1:13" s="1353" customFormat="1" ht="14.5">
      <c r="A371" s="1647">
        <v>364</v>
      </c>
      <c r="B371" s="1648" t="s">
        <v>1029</v>
      </c>
      <c r="C371" s="1648" t="s">
        <v>2838</v>
      </c>
      <c r="D371" s="1654" t="s">
        <v>154</v>
      </c>
      <c r="E371" s="1654" t="s">
        <v>788</v>
      </c>
      <c r="F371" s="1647" t="s">
        <v>5098</v>
      </c>
      <c r="G371" s="1647">
        <v>90</v>
      </c>
      <c r="H371" s="1663" t="s">
        <v>1858</v>
      </c>
      <c r="I371" s="1647" t="s">
        <v>970</v>
      </c>
      <c r="J371" s="1666" t="s">
        <v>5135</v>
      </c>
      <c r="K371" s="1665">
        <v>1.1793981481481482E-2</v>
      </c>
      <c r="L371" s="1654" t="s">
        <v>5130</v>
      </c>
      <c r="M371" s="1652">
        <v>44547</v>
      </c>
    </row>
    <row r="372" spans="1:13" s="1353" customFormat="1" ht="14.5">
      <c r="A372" s="1647">
        <v>365</v>
      </c>
      <c r="B372" s="1648" t="s">
        <v>1029</v>
      </c>
      <c r="C372" s="1648" t="s">
        <v>2838</v>
      </c>
      <c r="D372" s="1654" t="s">
        <v>154</v>
      </c>
      <c r="E372" s="1654" t="s">
        <v>788</v>
      </c>
      <c r="F372" s="1647" t="s">
        <v>5098</v>
      </c>
      <c r="G372" s="1647">
        <v>105</v>
      </c>
      <c r="H372" s="1663" t="s">
        <v>1861</v>
      </c>
      <c r="I372" s="1647" t="s">
        <v>968</v>
      </c>
      <c r="J372" s="1666" t="s">
        <v>5140</v>
      </c>
      <c r="K372" s="1665">
        <v>9.2592592592592585E-4</v>
      </c>
      <c r="L372" s="1654" t="s">
        <v>5130</v>
      </c>
      <c r="M372" s="1652">
        <v>44547</v>
      </c>
    </row>
    <row r="373" spans="1:13" s="1353" customFormat="1" ht="14.5">
      <c r="A373" s="1647">
        <v>366</v>
      </c>
      <c r="B373" s="1648" t="s">
        <v>1029</v>
      </c>
      <c r="C373" s="1648" t="s">
        <v>2838</v>
      </c>
      <c r="D373" s="1654" t="s">
        <v>154</v>
      </c>
      <c r="E373" s="1654" t="s">
        <v>788</v>
      </c>
      <c r="F373" s="1647" t="s">
        <v>5098</v>
      </c>
      <c r="G373" s="1647">
        <v>105</v>
      </c>
      <c r="H373" s="1663" t="s">
        <v>1861</v>
      </c>
      <c r="I373" s="1647" t="s">
        <v>980</v>
      </c>
      <c r="J373" s="1666" t="s">
        <v>5141</v>
      </c>
      <c r="K373" s="1665">
        <v>8.7962962962962962E-4</v>
      </c>
      <c r="L373" s="1654" t="s">
        <v>5130</v>
      </c>
      <c r="M373" s="1652">
        <v>44547</v>
      </c>
    </row>
    <row r="374" spans="1:13" s="1353" customFormat="1" ht="14.5">
      <c r="A374" s="1647">
        <v>367</v>
      </c>
      <c r="B374" s="1648" t="s">
        <v>1029</v>
      </c>
      <c r="C374" s="1648" t="s">
        <v>2838</v>
      </c>
      <c r="D374" s="1654" t="s">
        <v>154</v>
      </c>
      <c r="E374" s="1654" t="s">
        <v>788</v>
      </c>
      <c r="F374" s="1647" t="s">
        <v>5098</v>
      </c>
      <c r="G374" s="1647">
        <v>105</v>
      </c>
      <c r="H374" s="1663" t="s">
        <v>1861</v>
      </c>
      <c r="I374" s="1647" t="s">
        <v>985</v>
      </c>
      <c r="J374" s="1666" t="s">
        <v>5142</v>
      </c>
      <c r="K374" s="1665">
        <v>8.2175925925925917E-4</v>
      </c>
      <c r="L374" s="1654" t="s">
        <v>5130</v>
      </c>
      <c r="M374" s="1652">
        <v>44547</v>
      </c>
    </row>
    <row r="375" spans="1:13" s="1353" customFormat="1" ht="14.5">
      <c r="A375" s="1647">
        <v>368</v>
      </c>
      <c r="B375" s="1648" t="s">
        <v>1029</v>
      </c>
      <c r="C375" s="1648" t="s">
        <v>2838</v>
      </c>
      <c r="D375" s="1654" t="s">
        <v>154</v>
      </c>
      <c r="E375" s="1654" t="s">
        <v>788</v>
      </c>
      <c r="F375" s="1647" t="s">
        <v>5098</v>
      </c>
      <c r="G375" s="1647">
        <v>105</v>
      </c>
      <c r="H375" s="1663" t="s">
        <v>1861</v>
      </c>
      <c r="I375" s="1647" t="s">
        <v>958</v>
      </c>
      <c r="J375" s="1668" t="s">
        <v>5143</v>
      </c>
      <c r="K375" s="1665">
        <v>7.7546296296296304E-4</v>
      </c>
      <c r="L375" s="1654" t="s">
        <v>5130</v>
      </c>
      <c r="M375" s="1652">
        <v>44547</v>
      </c>
    </row>
    <row r="376" spans="1:13" s="1353" customFormat="1" ht="14.5">
      <c r="A376" s="1647">
        <v>369</v>
      </c>
      <c r="B376" s="1648" t="s">
        <v>1012</v>
      </c>
      <c r="C376" s="1648" t="s">
        <v>4490</v>
      </c>
      <c r="D376" s="1654" t="s">
        <v>154</v>
      </c>
      <c r="E376" s="1654" t="s">
        <v>788</v>
      </c>
      <c r="F376" s="1647" t="s">
        <v>5098</v>
      </c>
      <c r="G376" s="1647">
        <v>85</v>
      </c>
      <c r="H376" s="1663" t="s">
        <v>1857</v>
      </c>
      <c r="I376" s="1647" t="s">
        <v>968</v>
      </c>
      <c r="J376" s="1666" t="s">
        <v>5134</v>
      </c>
      <c r="K376" s="1665">
        <v>1.3391203703703704E-2</v>
      </c>
      <c r="L376" s="1654" t="s">
        <v>5130</v>
      </c>
      <c r="M376" s="1652">
        <v>44547</v>
      </c>
    </row>
    <row r="377" spans="1:13" s="1353" customFormat="1" ht="14.5">
      <c r="A377" s="1647">
        <v>370</v>
      </c>
      <c r="B377" s="1648" t="s">
        <v>1012</v>
      </c>
      <c r="C377" s="1648" t="s">
        <v>4490</v>
      </c>
      <c r="D377" s="1654" t="s">
        <v>154</v>
      </c>
      <c r="E377" s="1654" t="s">
        <v>788</v>
      </c>
      <c r="F377" s="1647" t="s">
        <v>5098</v>
      </c>
      <c r="G377" s="1647">
        <v>85</v>
      </c>
      <c r="H377" s="1647" t="s">
        <v>1857</v>
      </c>
      <c r="I377" s="1647" t="s">
        <v>980</v>
      </c>
      <c r="J377" s="1667" t="s">
        <v>5134</v>
      </c>
      <c r="K377" s="1665">
        <v>1.3391203703703704E-2</v>
      </c>
      <c r="L377" s="1654" t="s">
        <v>5130</v>
      </c>
      <c r="M377" s="1652">
        <v>44547</v>
      </c>
    </row>
    <row r="378" spans="1:13" s="1353" customFormat="1" ht="14.5">
      <c r="A378" s="1647">
        <v>371</v>
      </c>
      <c r="B378" s="1648" t="s">
        <v>1012</v>
      </c>
      <c r="C378" s="1648" t="s">
        <v>4490</v>
      </c>
      <c r="D378" s="1654" t="s">
        <v>154</v>
      </c>
      <c r="E378" s="1654" t="s">
        <v>788</v>
      </c>
      <c r="F378" s="1647" t="s">
        <v>5098</v>
      </c>
      <c r="G378" s="1647">
        <v>85</v>
      </c>
      <c r="H378" s="1647" t="s">
        <v>1857</v>
      </c>
      <c r="I378" s="1647" t="s">
        <v>985</v>
      </c>
      <c r="J378" s="1667" t="s">
        <v>5134</v>
      </c>
      <c r="K378" s="1665">
        <v>1.3391203703703704E-2</v>
      </c>
      <c r="L378" s="1654" t="s">
        <v>5130</v>
      </c>
      <c r="M378" s="1652">
        <v>44547</v>
      </c>
    </row>
    <row r="379" spans="1:13" s="1353" customFormat="1" ht="14.5">
      <c r="A379" s="1647">
        <v>372</v>
      </c>
      <c r="B379" s="1648" t="s">
        <v>1012</v>
      </c>
      <c r="C379" s="1648" t="s">
        <v>4490</v>
      </c>
      <c r="D379" s="1654" t="s">
        <v>154</v>
      </c>
      <c r="E379" s="1654" t="s">
        <v>788</v>
      </c>
      <c r="F379" s="1647" t="s">
        <v>5098</v>
      </c>
      <c r="G379" s="1647">
        <v>85</v>
      </c>
      <c r="H379" s="1647" t="s">
        <v>1857</v>
      </c>
      <c r="I379" s="1647" t="s">
        <v>958</v>
      </c>
      <c r="J379" s="1667" t="s">
        <v>5134</v>
      </c>
      <c r="K379" s="1665">
        <v>1.3391203703703704E-2</v>
      </c>
      <c r="L379" s="1654" t="s">
        <v>5130</v>
      </c>
      <c r="M379" s="1652">
        <v>44547</v>
      </c>
    </row>
    <row r="380" spans="1:13" s="1353" customFormat="1" ht="14.5">
      <c r="A380" s="1647">
        <v>373</v>
      </c>
      <c r="B380" s="1648" t="s">
        <v>1012</v>
      </c>
      <c r="C380" s="1648" t="s">
        <v>4490</v>
      </c>
      <c r="D380" s="1654" t="s">
        <v>154</v>
      </c>
      <c r="E380" s="1654" t="s">
        <v>788</v>
      </c>
      <c r="F380" s="1647" t="s">
        <v>5098</v>
      </c>
      <c r="G380" s="1647">
        <v>85</v>
      </c>
      <c r="H380" s="1647" t="s">
        <v>1857</v>
      </c>
      <c r="I380" s="1647" t="s">
        <v>970</v>
      </c>
      <c r="J380" s="1667" t="s">
        <v>5134</v>
      </c>
      <c r="K380" s="1665">
        <v>1.3391203703703704E-2</v>
      </c>
      <c r="L380" s="1654" t="s">
        <v>5130</v>
      </c>
      <c r="M380" s="1652">
        <v>44547</v>
      </c>
    </row>
    <row r="381" spans="1:13" s="1353" customFormat="1" ht="14.5">
      <c r="A381" s="1647">
        <v>374</v>
      </c>
      <c r="B381" s="1648" t="s">
        <v>1012</v>
      </c>
      <c r="C381" s="1648" t="s">
        <v>4490</v>
      </c>
      <c r="D381" s="1654" t="s">
        <v>154</v>
      </c>
      <c r="E381" s="1654" t="s">
        <v>788</v>
      </c>
      <c r="F381" s="1647" t="s">
        <v>5098</v>
      </c>
      <c r="G381" s="1647">
        <v>90</v>
      </c>
      <c r="H381" s="1663" t="s">
        <v>1858</v>
      </c>
      <c r="I381" s="1647" t="s">
        <v>968</v>
      </c>
      <c r="J381" s="1666" t="s">
        <v>5135</v>
      </c>
      <c r="K381" s="1665">
        <v>1.1793981481481482E-2</v>
      </c>
      <c r="L381" s="1654" t="s">
        <v>5130</v>
      </c>
      <c r="M381" s="1652">
        <v>44547</v>
      </c>
    </row>
    <row r="382" spans="1:13" s="1353" customFormat="1" ht="14.5">
      <c r="A382" s="1647">
        <v>375</v>
      </c>
      <c r="B382" s="1648" t="s">
        <v>1012</v>
      </c>
      <c r="C382" s="1648" t="s">
        <v>4490</v>
      </c>
      <c r="D382" s="1654" t="s">
        <v>154</v>
      </c>
      <c r="E382" s="1654" t="s">
        <v>788</v>
      </c>
      <c r="F382" s="1647" t="s">
        <v>5098</v>
      </c>
      <c r="G382" s="1647">
        <v>90</v>
      </c>
      <c r="H382" s="1663" t="s">
        <v>1858</v>
      </c>
      <c r="I382" s="1647" t="s">
        <v>980</v>
      </c>
      <c r="J382" s="1666" t="s">
        <v>5135</v>
      </c>
      <c r="K382" s="1665">
        <v>1.1793981481481482E-2</v>
      </c>
      <c r="L382" s="1654" t="s">
        <v>5130</v>
      </c>
      <c r="M382" s="1652">
        <v>44547</v>
      </c>
    </row>
    <row r="383" spans="1:13" s="1353" customFormat="1" ht="14.5">
      <c r="A383" s="1647">
        <v>376</v>
      </c>
      <c r="B383" s="1648" t="s">
        <v>1012</v>
      </c>
      <c r="C383" s="1648" t="s">
        <v>4490</v>
      </c>
      <c r="D383" s="1654" t="s">
        <v>154</v>
      </c>
      <c r="E383" s="1654" t="s">
        <v>788</v>
      </c>
      <c r="F383" s="1647" t="s">
        <v>5098</v>
      </c>
      <c r="G383" s="1647">
        <v>90</v>
      </c>
      <c r="H383" s="1663" t="s">
        <v>1858</v>
      </c>
      <c r="I383" s="1647" t="s">
        <v>985</v>
      </c>
      <c r="J383" s="1666" t="s">
        <v>5135</v>
      </c>
      <c r="K383" s="1665">
        <v>1.1793981481481482E-2</v>
      </c>
      <c r="L383" s="1654" t="s">
        <v>5130</v>
      </c>
      <c r="M383" s="1652">
        <v>44547</v>
      </c>
    </row>
    <row r="384" spans="1:13" s="1353" customFormat="1" ht="14.5">
      <c r="A384" s="1647">
        <v>377</v>
      </c>
      <c r="B384" s="1648" t="s">
        <v>1012</v>
      </c>
      <c r="C384" s="1648" t="s">
        <v>4490</v>
      </c>
      <c r="D384" s="1654" t="s">
        <v>154</v>
      </c>
      <c r="E384" s="1654" t="s">
        <v>788</v>
      </c>
      <c r="F384" s="1647" t="s">
        <v>5098</v>
      </c>
      <c r="G384" s="1647">
        <v>90</v>
      </c>
      <c r="H384" s="1663" t="s">
        <v>1858</v>
      </c>
      <c r="I384" s="1647" t="s">
        <v>958</v>
      </c>
      <c r="J384" s="1666" t="s">
        <v>5135</v>
      </c>
      <c r="K384" s="1665">
        <v>1.1793981481481482E-2</v>
      </c>
      <c r="L384" s="1654" t="s">
        <v>5130</v>
      </c>
      <c r="M384" s="1652">
        <v>44547</v>
      </c>
    </row>
    <row r="385" spans="1:13" s="1353" customFormat="1" ht="14.5">
      <c r="A385" s="1647">
        <v>378</v>
      </c>
      <c r="B385" s="1648" t="s">
        <v>1012</v>
      </c>
      <c r="C385" s="1648" t="s">
        <v>4490</v>
      </c>
      <c r="D385" s="1654" t="s">
        <v>154</v>
      </c>
      <c r="E385" s="1654" t="s">
        <v>788</v>
      </c>
      <c r="F385" s="1647" t="s">
        <v>5098</v>
      </c>
      <c r="G385" s="1647">
        <v>90</v>
      </c>
      <c r="H385" s="1663" t="s">
        <v>1858</v>
      </c>
      <c r="I385" s="1647" t="s">
        <v>970</v>
      </c>
      <c r="J385" s="1666" t="s">
        <v>5135</v>
      </c>
      <c r="K385" s="1665">
        <v>1.1793981481481482E-2</v>
      </c>
      <c r="L385" s="1654" t="s">
        <v>5130</v>
      </c>
      <c r="M385" s="1652">
        <v>44547</v>
      </c>
    </row>
    <row r="386" spans="1:13" s="1353" customFormat="1" ht="14.5">
      <c r="A386" s="1647">
        <v>379</v>
      </c>
      <c r="B386" s="1648" t="s">
        <v>1015</v>
      </c>
      <c r="C386" s="1648" t="s">
        <v>4656</v>
      </c>
      <c r="D386" s="1654" t="s">
        <v>154</v>
      </c>
      <c r="E386" s="1654" t="s">
        <v>788</v>
      </c>
      <c r="F386" s="1647" t="s">
        <v>5098</v>
      </c>
      <c r="G386" s="1647">
        <v>85</v>
      </c>
      <c r="H386" s="1663" t="s">
        <v>1857</v>
      </c>
      <c r="I386" s="1647" t="s">
        <v>968</v>
      </c>
      <c r="J386" s="1666" t="s">
        <v>5134</v>
      </c>
      <c r="K386" s="1665">
        <v>1.3391203703703704E-2</v>
      </c>
      <c r="L386" s="1654" t="s">
        <v>5130</v>
      </c>
      <c r="M386" s="1652">
        <v>44547</v>
      </c>
    </row>
    <row r="387" spans="1:13" s="1353" customFormat="1" ht="14.5">
      <c r="A387" s="1647">
        <v>380</v>
      </c>
      <c r="B387" s="1648" t="s">
        <v>1015</v>
      </c>
      <c r="C387" s="1648" t="s">
        <v>4656</v>
      </c>
      <c r="D387" s="1654" t="s">
        <v>154</v>
      </c>
      <c r="E387" s="1654" t="s">
        <v>788</v>
      </c>
      <c r="F387" s="1647" t="s">
        <v>5098</v>
      </c>
      <c r="G387" s="1647">
        <v>85</v>
      </c>
      <c r="H387" s="1647" t="s">
        <v>1857</v>
      </c>
      <c r="I387" s="1647" t="s">
        <v>980</v>
      </c>
      <c r="J387" s="1667" t="s">
        <v>5134</v>
      </c>
      <c r="K387" s="1665">
        <v>1.3391203703703704E-2</v>
      </c>
      <c r="L387" s="1654" t="s">
        <v>5130</v>
      </c>
      <c r="M387" s="1652">
        <v>44547</v>
      </c>
    </row>
    <row r="388" spans="1:13" s="1353" customFormat="1" ht="14.5">
      <c r="A388" s="1647">
        <v>381</v>
      </c>
      <c r="B388" s="1648" t="s">
        <v>1015</v>
      </c>
      <c r="C388" s="1648" t="s">
        <v>4656</v>
      </c>
      <c r="D388" s="1654" t="s">
        <v>154</v>
      </c>
      <c r="E388" s="1654" t="s">
        <v>788</v>
      </c>
      <c r="F388" s="1647" t="s">
        <v>5098</v>
      </c>
      <c r="G388" s="1647">
        <v>85</v>
      </c>
      <c r="H388" s="1647" t="s">
        <v>1857</v>
      </c>
      <c r="I388" s="1647" t="s">
        <v>985</v>
      </c>
      <c r="J388" s="1667" t="s">
        <v>5134</v>
      </c>
      <c r="K388" s="1665">
        <v>1.3391203703703704E-2</v>
      </c>
      <c r="L388" s="1654" t="s">
        <v>5130</v>
      </c>
      <c r="M388" s="1652">
        <v>44547</v>
      </c>
    </row>
    <row r="389" spans="1:13" s="1353" customFormat="1" ht="14.5">
      <c r="A389" s="1647">
        <v>382</v>
      </c>
      <c r="B389" s="1648" t="s">
        <v>1015</v>
      </c>
      <c r="C389" s="1648" t="s">
        <v>4656</v>
      </c>
      <c r="D389" s="1654" t="s">
        <v>154</v>
      </c>
      <c r="E389" s="1654" t="s">
        <v>788</v>
      </c>
      <c r="F389" s="1647" t="s">
        <v>5098</v>
      </c>
      <c r="G389" s="1647">
        <v>85</v>
      </c>
      <c r="H389" s="1647" t="s">
        <v>1857</v>
      </c>
      <c r="I389" s="1647" t="s">
        <v>958</v>
      </c>
      <c r="J389" s="1667" t="s">
        <v>5134</v>
      </c>
      <c r="K389" s="1665">
        <v>1.3391203703703704E-2</v>
      </c>
      <c r="L389" s="1654" t="s">
        <v>5130</v>
      </c>
      <c r="M389" s="1652">
        <v>44547</v>
      </c>
    </row>
    <row r="390" spans="1:13" s="1353" customFormat="1" ht="14.5">
      <c r="A390" s="1647">
        <v>383</v>
      </c>
      <c r="B390" s="1648" t="s">
        <v>1015</v>
      </c>
      <c r="C390" s="1648" t="s">
        <v>4656</v>
      </c>
      <c r="D390" s="1654" t="s">
        <v>154</v>
      </c>
      <c r="E390" s="1654" t="s">
        <v>788</v>
      </c>
      <c r="F390" s="1647" t="s">
        <v>5098</v>
      </c>
      <c r="G390" s="1647">
        <v>85</v>
      </c>
      <c r="H390" s="1647" t="s">
        <v>1857</v>
      </c>
      <c r="I390" s="1647" t="s">
        <v>970</v>
      </c>
      <c r="J390" s="1667" t="s">
        <v>5134</v>
      </c>
      <c r="K390" s="1665">
        <v>1.3391203703703704E-2</v>
      </c>
      <c r="L390" s="1654" t="s">
        <v>5130</v>
      </c>
      <c r="M390" s="1652">
        <v>44547</v>
      </c>
    </row>
    <row r="391" spans="1:13" s="1353" customFormat="1" ht="14.5">
      <c r="A391" s="1647">
        <v>384</v>
      </c>
      <c r="B391" s="1648" t="s">
        <v>1015</v>
      </c>
      <c r="C391" s="1648" t="s">
        <v>4656</v>
      </c>
      <c r="D391" s="1654" t="s">
        <v>154</v>
      </c>
      <c r="E391" s="1654" t="s">
        <v>788</v>
      </c>
      <c r="F391" s="1647" t="s">
        <v>5098</v>
      </c>
      <c r="G391" s="1647">
        <v>90</v>
      </c>
      <c r="H391" s="1663" t="s">
        <v>1858</v>
      </c>
      <c r="I391" s="1647" t="s">
        <v>968</v>
      </c>
      <c r="J391" s="1666" t="s">
        <v>5135</v>
      </c>
      <c r="K391" s="1665">
        <v>1.1793981481481482E-2</v>
      </c>
      <c r="L391" s="1654" t="s">
        <v>5130</v>
      </c>
      <c r="M391" s="1652">
        <v>44547</v>
      </c>
    </row>
    <row r="392" spans="1:13" s="1353" customFormat="1" ht="14.5">
      <c r="A392" s="1647">
        <v>385</v>
      </c>
      <c r="B392" s="1648" t="s">
        <v>1015</v>
      </c>
      <c r="C392" s="1648" t="s">
        <v>4656</v>
      </c>
      <c r="D392" s="1654" t="s">
        <v>154</v>
      </c>
      <c r="E392" s="1654" t="s">
        <v>788</v>
      </c>
      <c r="F392" s="1647" t="s">
        <v>5098</v>
      </c>
      <c r="G392" s="1647">
        <v>90</v>
      </c>
      <c r="H392" s="1663" t="s">
        <v>1858</v>
      </c>
      <c r="I392" s="1647" t="s">
        <v>980</v>
      </c>
      <c r="J392" s="1666" t="s">
        <v>5135</v>
      </c>
      <c r="K392" s="1665">
        <v>1.1793981481481482E-2</v>
      </c>
      <c r="L392" s="1654" t="s">
        <v>5130</v>
      </c>
      <c r="M392" s="1652">
        <v>44547</v>
      </c>
    </row>
    <row r="393" spans="1:13" s="1353" customFormat="1" ht="14.5">
      <c r="A393" s="1647">
        <v>386</v>
      </c>
      <c r="B393" s="1648" t="s">
        <v>1015</v>
      </c>
      <c r="C393" s="1648" t="s">
        <v>4656</v>
      </c>
      <c r="D393" s="1654" t="s">
        <v>154</v>
      </c>
      <c r="E393" s="1654" t="s">
        <v>788</v>
      </c>
      <c r="F393" s="1647" t="s">
        <v>5098</v>
      </c>
      <c r="G393" s="1647">
        <v>90</v>
      </c>
      <c r="H393" s="1663" t="s">
        <v>1858</v>
      </c>
      <c r="I393" s="1647" t="s">
        <v>985</v>
      </c>
      <c r="J393" s="1666" t="s">
        <v>5135</v>
      </c>
      <c r="K393" s="1665">
        <v>1.1793981481481482E-2</v>
      </c>
      <c r="L393" s="1654" t="s">
        <v>5130</v>
      </c>
      <c r="M393" s="1652">
        <v>44547</v>
      </c>
    </row>
    <row r="394" spans="1:13" s="1353" customFormat="1" ht="14.5">
      <c r="A394" s="1647">
        <v>387</v>
      </c>
      <c r="B394" s="1648" t="s">
        <v>1015</v>
      </c>
      <c r="C394" s="1648" t="s">
        <v>4656</v>
      </c>
      <c r="D394" s="1654" t="s">
        <v>154</v>
      </c>
      <c r="E394" s="1654" t="s">
        <v>788</v>
      </c>
      <c r="F394" s="1647" t="s">
        <v>5098</v>
      </c>
      <c r="G394" s="1647">
        <v>90</v>
      </c>
      <c r="H394" s="1663" t="s">
        <v>1858</v>
      </c>
      <c r="I394" s="1647" t="s">
        <v>958</v>
      </c>
      <c r="J394" s="1666" t="s">
        <v>5135</v>
      </c>
      <c r="K394" s="1665">
        <v>1.1793981481481482E-2</v>
      </c>
      <c r="L394" s="1654" t="s">
        <v>5130</v>
      </c>
      <c r="M394" s="1652">
        <v>44547</v>
      </c>
    </row>
    <row r="395" spans="1:13" s="1353" customFormat="1" ht="14.5">
      <c r="A395" s="1647">
        <v>388</v>
      </c>
      <c r="B395" s="1648" t="s">
        <v>1015</v>
      </c>
      <c r="C395" s="1648" t="s">
        <v>4656</v>
      </c>
      <c r="D395" s="1654" t="s">
        <v>154</v>
      </c>
      <c r="E395" s="1654" t="s">
        <v>788</v>
      </c>
      <c r="F395" s="1647" t="s">
        <v>5098</v>
      </c>
      <c r="G395" s="1647">
        <v>90</v>
      </c>
      <c r="H395" s="1663" t="s">
        <v>1858</v>
      </c>
      <c r="I395" s="1647" t="s">
        <v>970</v>
      </c>
      <c r="J395" s="1666" t="s">
        <v>5135</v>
      </c>
      <c r="K395" s="1665">
        <v>1.1793981481481482E-2</v>
      </c>
      <c r="L395" s="1654" t="s">
        <v>5130</v>
      </c>
      <c r="M395" s="1652">
        <v>44547</v>
      </c>
    </row>
    <row r="396" spans="1:13" s="1353" customFormat="1" ht="29">
      <c r="A396" s="1601">
        <v>389</v>
      </c>
      <c r="B396" s="1602" t="s">
        <v>990</v>
      </c>
      <c r="C396" s="1603" t="s">
        <v>2516</v>
      </c>
      <c r="D396" s="1602" t="s">
        <v>5110</v>
      </c>
      <c r="E396" s="1603" t="s">
        <v>4903</v>
      </c>
      <c r="F396" s="1601" t="s">
        <v>5098</v>
      </c>
      <c r="G396" s="1601">
        <v>105</v>
      </c>
      <c r="H396" s="1602" t="s">
        <v>1861</v>
      </c>
      <c r="I396" s="1601" t="s">
        <v>968</v>
      </c>
      <c r="J396" s="1669">
        <v>18.2</v>
      </c>
      <c r="K396" s="1669" t="s">
        <v>4797</v>
      </c>
      <c r="L396" s="1603" t="s">
        <v>5144</v>
      </c>
      <c r="M396" s="1604">
        <v>44572</v>
      </c>
    </row>
    <row r="397" spans="1:13" s="1353" customFormat="1" ht="29">
      <c r="A397" s="1601">
        <v>390</v>
      </c>
      <c r="B397" s="1602" t="s">
        <v>990</v>
      </c>
      <c r="C397" s="1603" t="s">
        <v>2516</v>
      </c>
      <c r="D397" s="1602" t="s">
        <v>5110</v>
      </c>
      <c r="E397" s="1603" t="s">
        <v>4903</v>
      </c>
      <c r="F397" s="1601" t="s">
        <v>5098</v>
      </c>
      <c r="G397" s="1601">
        <v>105</v>
      </c>
      <c r="H397" s="1602" t="s">
        <v>1861</v>
      </c>
      <c r="I397" s="1601" t="s">
        <v>980</v>
      </c>
      <c r="J397" s="1669">
        <v>19.3</v>
      </c>
      <c r="K397" s="1669" t="s">
        <v>4797</v>
      </c>
      <c r="L397" s="1603" t="s">
        <v>5144</v>
      </c>
      <c r="M397" s="1604">
        <v>44572</v>
      </c>
    </row>
    <row r="398" spans="1:13" s="1353" customFormat="1" ht="29">
      <c r="A398" s="1601">
        <v>391</v>
      </c>
      <c r="B398" s="1602" t="s">
        <v>990</v>
      </c>
      <c r="C398" s="1603" t="s">
        <v>2516</v>
      </c>
      <c r="D398" s="1602" t="s">
        <v>5110</v>
      </c>
      <c r="E398" s="1603" t="s">
        <v>4903</v>
      </c>
      <c r="F398" s="1601" t="s">
        <v>5098</v>
      </c>
      <c r="G398" s="1601">
        <v>105</v>
      </c>
      <c r="H398" s="1602" t="s">
        <v>1861</v>
      </c>
      <c r="I398" s="1601" t="s">
        <v>985</v>
      </c>
      <c r="J398" s="1669">
        <v>20.9</v>
      </c>
      <c r="K398" s="1669" t="s">
        <v>4797</v>
      </c>
      <c r="L398" s="1603" t="s">
        <v>5144</v>
      </c>
      <c r="M398" s="1604">
        <v>44572</v>
      </c>
    </row>
    <row r="399" spans="1:13" s="1353" customFormat="1" ht="29">
      <c r="A399" s="1601">
        <v>392</v>
      </c>
      <c r="B399" s="1602" t="s">
        <v>990</v>
      </c>
      <c r="C399" s="1603" t="s">
        <v>2516</v>
      </c>
      <c r="D399" s="1602" t="s">
        <v>5110</v>
      </c>
      <c r="E399" s="1603" t="s">
        <v>4903</v>
      </c>
      <c r="F399" s="1601" t="s">
        <v>5098</v>
      </c>
      <c r="G399" s="1601">
        <v>105</v>
      </c>
      <c r="H399" s="1602" t="s">
        <v>1861</v>
      </c>
      <c r="I399" s="1601" t="s">
        <v>958</v>
      </c>
      <c r="J399" s="1669">
        <v>22.7</v>
      </c>
      <c r="K399" s="1669" t="s">
        <v>4797</v>
      </c>
      <c r="L399" s="1603" t="s">
        <v>5144</v>
      </c>
      <c r="M399" s="1604">
        <v>44572</v>
      </c>
    </row>
    <row r="400" spans="1:13" s="1353" customFormat="1" ht="29">
      <c r="A400" s="1601">
        <v>393</v>
      </c>
      <c r="B400" s="1602" t="s">
        <v>990</v>
      </c>
      <c r="C400" s="1603" t="s">
        <v>2516</v>
      </c>
      <c r="D400" s="1602" t="s">
        <v>5110</v>
      </c>
      <c r="E400" s="1603" t="s">
        <v>4903</v>
      </c>
      <c r="F400" s="1601" t="s">
        <v>5098</v>
      </c>
      <c r="G400" s="1601">
        <v>105</v>
      </c>
      <c r="H400" s="1602" t="s">
        <v>1861</v>
      </c>
      <c r="I400" s="1601" t="s">
        <v>970</v>
      </c>
      <c r="J400" s="1669">
        <v>24.9</v>
      </c>
      <c r="K400" s="1669" t="s">
        <v>4797</v>
      </c>
      <c r="L400" s="1603" t="s">
        <v>5144</v>
      </c>
      <c r="M400" s="1604">
        <v>44572</v>
      </c>
    </row>
    <row r="401" spans="1:13" s="1356" customFormat="1" ht="29">
      <c r="A401" s="1615">
        <v>394</v>
      </c>
      <c r="B401" s="1613" t="s">
        <v>1015</v>
      </c>
      <c r="C401" s="1614" t="s">
        <v>4659</v>
      </c>
      <c r="D401" s="1613" t="s">
        <v>629</v>
      </c>
      <c r="E401" s="1614" t="s">
        <v>4903</v>
      </c>
      <c r="F401" s="1615" t="s">
        <v>5098</v>
      </c>
      <c r="G401" s="1615">
        <v>105</v>
      </c>
      <c r="H401" s="1613" t="s">
        <v>1861</v>
      </c>
      <c r="I401" s="1615" t="s">
        <v>968</v>
      </c>
      <c r="J401" s="1497">
        <v>47.7</v>
      </c>
      <c r="K401" s="1497" t="s">
        <v>4797</v>
      </c>
      <c r="L401" s="1614" t="s">
        <v>5144</v>
      </c>
      <c r="M401" s="1604">
        <v>44582</v>
      </c>
    </row>
    <row r="402" spans="1:13" s="1356" customFormat="1" ht="29">
      <c r="A402" s="1601">
        <v>395</v>
      </c>
      <c r="B402" s="1602" t="s">
        <v>1015</v>
      </c>
      <c r="C402" s="1603" t="s">
        <v>4659</v>
      </c>
      <c r="D402" s="1602" t="s">
        <v>629</v>
      </c>
      <c r="E402" s="1603" t="s">
        <v>4903</v>
      </c>
      <c r="F402" s="1601" t="s">
        <v>5098</v>
      </c>
      <c r="G402" s="1601">
        <v>105</v>
      </c>
      <c r="H402" s="1602" t="s">
        <v>1861</v>
      </c>
      <c r="I402" s="1601" t="s">
        <v>980</v>
      </c>
      <c r="J402" s="1497">
        <v>47.7</v>
      </c>
      <c r="K402" s="1497" t="s">
        <v>4797</v>
      </c>
      <c r="L402" s="1603" t="s">
        <v>5144</v>
      </c>
      <c r="M402" s="1604">
        <v>44582</v>
      </c>
    </row>
    <row r="403" spans="1:13" s="1356" customFormat="1" ht="29">
      <c r="A403" s="1601">
        <v>396</v>
      </c>
      <c r="B403" s="1602" t="s">
        <v>1015</v>
      </c>
      <c r="C403" s="1603" t="s">
        <v>4659</v>
      </c>
      <c r="D403" s="1602" t="s">
        <v>629</v>
      </c>
      <c r="E403" s="1603" t="s">
        <v>4903</v>
      </c>
      <c r="F403" s="1601" t="s">
        <v>5098</v>
      </c>
      <c r="G403" s="1601">
        <v>105</v>
      </c>
      <c r="H403" s="1602" t="s">
        <v>1861</v>
      </c>
      <c r="I403" s="1601" t="s">
        <v>985</v>
      </c>
      <c r="J403" s="1497">
        <v>47.7</v>
      </c>
      <c r="K403" s="1497" t="s">
        <v>4797</v>
      </c>
      <c r="L403" s="1603" t="s">
        <v>5144</v>
      </c>
      <c r="M403" s="1604">
        <v>44582</v>
      </c>
    </row>
    <row r="404" spans="1:13" s="1356" customFormat="1" ht="29">
      <c r="A404" s="1601">
        <v>397</v>
      </c>
      <c r="B404" s="1602" t="s">
        <v>1015</v>
      </c>
      <c r="C404" s="1603" t="s">
        <v>4659</v>
      </c>
      <c r="D404" s="1602" t="s">
        <v>629</v>
      </c>
      <c r="E404" s="1603" t="s">
        <v>4903</v>
      </c>
      <c r="F404" s="1601" t="s">
        <v>5098</v>
      </c>
      <c r="G404" s="1601">
        <v>105</v>
      </c>
      <c r="H404" s="1602" t="s">
        <v>1861</v>
      </c>
      <c r="I404" s="1601" t="s">
        <v>958</v>
      </c>
      <c r="J404" s="1497">
        <v>48.3</v>
      </c>
      <c r="K404" s="1497" t="s">
        <v>4797</v>
      </c>
      <c r="L404" s="1603" t="s">
        <v>5144</v>
      </c>
      <c r="M404" s="1604">
        <v>44582</v>
      </c>
    </row>
    <row r="405" spans="1:13" s="1356" customFormat="1" ht="29">
      <c r="A405" s="1601">
        <v>398</v>
      </c>
      <c r="B405" s="1602" t="s">
        <v>1015</v>
      </c>
      <c r="C405" s="1603" t="s">
        <v>4659</v>
      </c>
      <c r="D405" s="1602" t="s">
        <v>629</v>
      </c>
      <c r="E405" s="1603" t="s">
        <v>4903</v>
      </c>
      <c r="F405" s="1601" t="s">
        <v>5098</v>
      </c>
      <c r="G405" s="1601">
        <v>105</v>
      </c>
      <c r="H405" s="1602" t="s">
        <v>1861</v>
      </c>
      <c r="I405" s="1601" t="s">
        <v>970</v>
      </c>
      <c r="J405" s="1497">
        <v>49.6</v>
      </c>
      <c r="K405" s="1497" t="s">
        <v>4797</v>
      </c>
      <c r="L405" s="1603" t="s">
        <v>5144</v>
      </c>
      <c r="M405" s="1604">
        <v>44582</v>
      </c>
    </row>
    <row r="406" spans="1:13" s="1356" customFormat="1" ht="29">
      <c r="A406" s="1601">
        <v>399</v>
      </c>
      <c r="B406" s="1602" t="s">
        <v>1015</v>
      </c>
      <c r="C406" s="1603" t="s">
        <v>4659</v>
      </c>
      <c r="D406" s="1602" t="s">
        <v>629</v>
      </c>
      <c r="E406" s="1603" t="s">
        <v>4903</v>
      </c>
      <c r="F406" s="1601" t="s">
        <v>5098</v>
      </c>
      <c r="G406" s="1601">
        <v>85</v>
      </c>
      <c r="H406" s="1602" t="s">
        <v>1857</v>
      </c>
      <c r="I406" s="1601" t="s">
        <v>968</v>
      </c>
      <c r="J406" s="1497"/>
      <c r="K406" s="1497">
        <v>-20</v>
      </c>
      <c r="L406" s="1603" t="s">
        <v>5145</v>
      </c>
      <c r="M406" s="1604">
        <v>44589</v>
      </c>
    </row>
    <row r="407" spans="1:13" s="1356" customFormat="1" ht="29">
      <c r="A407" s="1601">
        <v>400</v>
      </c>
      <c r="B407" s="1602" t="s">
        <v>1015</v>
      </c>
      <c r="C407" s="1603" t="s">
        <v>4659</v>
      </c>
      <c r="D407" s="1602" t="s">
        <v>629</v>
      </c>
      <c r="E407" s="1603" t="s">
        <v>4903</v>
      </c>
      <c r="F407" s="1601" t="s">
        <v>5098</v>
      </c>
      <c r="G407" s="1601">
        <v>85</v>
      </c>
      <c r="H407" s="1602" t="s">
        <v>1857</v>
      </c>
      <c r="I407" s="1601" t="s">
        <v>980</v>
      </c>
      <c r="J407" s="1497"/>
      <c r="K407" s="1497">
        <v>-20</v>
      </c>
      <c r="L407" s="1603" t="s">
        <v>5145</v>
      </c>
      <c r="M407" s="1604">
        <v>44589</v>
      </c>
    </row>
    <row r="408" spans="1:13" s="1356" customFormat="1" ht="29">
      <c r="A408" s="1601">
        <v>401</v>
      </c>
      <c r="B408" s="1602" t="s">
        <v>1015</v>
      </c>
      <c r="C408" s="1603" t="s">
        <v>4659</v>
      </c>
      <c r="D408" s="1602" t="s">
        <v>629</v>
      </c>
      <c r="E408" s="1603" t="s">
        <v>4903</v>
      </c>
      <c r="F408" s="1601" t="s">
        <v>5098</v>
      </c>
      <c r="G408" s="1601">
        <v>85</v>
      </c>
      <c r="H408" s="1602" t="s">
        <v>1857</v>
      </c>
      <c r="I408" s="1601" t="s">
        <v>985</v>
      </c>
      <c r="J408" s="1497"/>
      <c r="K408" s="1497">
        <v>-20</v>
      </c>
      <c r="L408" s="1603" t="s">
        <v>5145</v>
      </c>
      <c r="M408" s="1604">
        <v>44589</v>
      </c>
    </row>
    <row r="409" spans="1:13" s="1356" customFormat="1" ht="29">
      <c r="A409" s="1601">
        <v>402</v>
      </c>
      <c r="B409" s="1602" t="s">
        <v>1015</v>
      </c>
      <c r="C409" s="1603" t="s">
        <v>4659</v>
      </c>
      <c r="D409" s="1602" t="s">
        <v>629</v>
      </c>
      <c r="E409" s="1603" t="s">
        <v>4903</v>
      </c>
      <c r="F409" s="1601" t="s">
        <v>5098</v>
      </c>
      <c r="G409" s="1601">
        <v>85</v>
      </c>
      <c r="H409" s="1602" t="s">
        <v>1857</v>
      </c>
      <c r="I409" s="1601" t="s">
        <v>958</v>
      </c>
      <c r="J409" s="1497"/>
      <c r="K409" s="1497">
        <v>-20</v>
      </c>
      <c r="L409" s="1603" t="s">
        <v>5145</v>
      </c>
      <c r="M409" s="1604">
        <v>44589</v>
      </c>
    </row>
    <row r="410" spans="1:13" s="1356" customFormat="1" ht="29">
      <c r="A410" s="1601">
        <v>403</v>
      </c>
      <c r="B410" s="1602" t="s">
        <v>1015</v>
      </c>
      <c r="C410" s="1603" t="s">
        <v>4659</v>
      </c>
      <c r="D410" s="1602" t="s">
        <v>629</v>
      </c>
      <c r="E410" s="1603" t="s">
        <v>4903</v>
      </c>
      <c r="F410" s="1601" t="s">
        <v>5098</v>
      </c>
      <c r="G410" s="1601">
        <v>85</v>
      </c>
      <c r="H410" s="1602" t="s">
        <v>1857</v>
      </c>
      <c r="I410" s="1601" t="s">
        <v>970</v>
      </c>
      <c r="J410" s="1497"/>
      <c r="K410" s="1497">
        <v>-20</v>
      </c>
      <c r="L410" s="1603" t="s">
        <v>5145</v>
      </c>
      <c r="M410" s="1604">
        <v>44589</v>
      </c>
    </row>
    <row r="411" spans="1:13" s="1356" customFormat="1" ht="29">
      <c r="A411" s="1601">
        <v>404</v>
      </c>
      <c r="B411" s="1602" t="s">
        <v>1015</v>
      </c>
      <c r="C411" s="1603" t="s">
        <v>4659</v>
      </c>
      <c r="D411" s="1602" t="s">
        <v>629</v>
      </c>
      <c r="E411" s="1603" t="s">
        <v>4903</v>
      </c>
      <c r="F411" s="1601" t="s">
        <v>5098</v>
      </c>
      <c r="G411" s="1601">
        <v>90</v>
      </c>
      <c r="H411" s="1670" t="s">
        <v>1858</v>
      </c>
      <c r="I411" s="1601" t="s">
        <v>968</v>
      </c>
      <c r="J411" s="1497">
        <v>-20</v>
      </c>
      <c r="K411" s="1497">
        <v>0</v>
      </c>
      <c r="L411" s="1603" t="s">
        <v>5146</v>
      </c>
      <c r="M411" s="1604">
        <v>44589</v>
      </c>
    </row>
    <row r="412" spans="1:13" s="1356" customFormat="1" ht="29">
      <c r="A412" s="1601">
        <v>405</v>
      </c>
      <c r="B412" s="1602" t="s">
        <v>1015</v>
      </c>
      <c r="C412" s="1603" t="s">
        <v>4659</v>
      </c>
      <c r="D412" s="1602" t="s">
        <v>629</v>
      </c>
      <c r="E412" s="1603" t="s">
        <v>4903</v>
      </c>
      <c r="F412" s="1601" t="s">
        <v>5098</v>
      </c>
      <c r="G412" s="1601">
        <v>90</v>
      </c>
      <c r="H412" s="1670" t="s">
        <v>1858</v>
      </c>
      <c r="I412" s="1601" t="s">
        <v>980</v>
      </c>
      <c r="J412" s="1497">
        <v>-20</v>
      </c>
      <c r="K412" s="1497">
        <v>0</v>
      </c>
      <c r="L412" s="1603" t="s">
        <v>5146</v>
      </c>
      <c r="M412" s="1604">
        <v>44589</v>
      </c>
    </row>
    <row r="413" spans="1:13" s="1356" customFormat="1" ht="29">
      <c r="A413" s="1601">
        <v>406</v>
      </c>
      <c r="B413" s="1602" t="s">
        <v>1015</v>
      </c>
      <c r="C413" s="1603" t="s">
        <v>4659</v>
      </c>
      <c r="D413" s="1602" t="s">
        <v>629</v>
      </c>
      <c r="E413" s="1603" t="s">
        <v>4903</v>
      </c>
      <c r="F413" s="1601" t="s">
        <v>5098</v>
      </c>
      <c r="G413" s="1601">
        <v>90</v>
      </c>
      <c r="H413" s="1670" t="s">
        <v>1858</v>
      </c>
      <c r="I413" s="1601" t="s">
        <v>985</v>
      </c>
      <c r="J413" s="1497">
        <v>-20</v>
      </c>
      <c r="K413" s="1497">
        <v>0</v>
      </c>
      <c r="L413" s="1603" t="s">
        <v>5146</v>
      </c>
      <c r="M413" s="1604">
        <v>44589</v>
      </c>
    </row>
    <row r="414" spans="1:13" s="1356" customFormat="1" ht="29">
      <c r="A414" s="1601">
        <v>407</v>
      </c>
      <c r="B414" s="1602" t="s">
        <v>1015</v>
      </c>
      <c r="C414" s="1603" t="s">
        <v>4659</v>
      </c>
      <c r="D414" s="1602" t="s">
        <v>629</v>
      </c>
      <c r="E414" s="1603" t="s">
        <v>4903</v>
      </c>
      <c r="F414" s="1601" t="s">
        <v>5098</v>
      </c>
      <c r="G414" s="1601">
        <v>90</v>
      </c>
      <c r="H414" s="1670" t="s">
        <v>1858</v>
      </c>
      <c r="I414" s="1601" t="s">
        <v>958</v>
      </c>
      <c r="J414" s="1497">
        <v>-20</v>
      </c>
      <c r="K414" s="1497">
        <v>0</v>
      </c>
      <c r="L414" s="1603" t="s">
        <v>5146</v>
      </c>
      <c r="M414" s="1604">
        <v>44589</v>
      </c>
    </row>
    <row r="415" spans="1:13" s="1356" customFormat="1" ht="29">
      <c r="A415" s="1601">
        <v>408</v>
      </c>
      <c r="B415" s="1602" t="s">
        <v>1015</v>
      </c>
      <c r="C415" s="1603" t="s">
        <v>4659</v>
      </c>
      <c r="D415" s="1602" t="s">
        <v>629</v>
      </c>
      <c r="E415" s="1603" t="s">
        <v>4903</v>
      </c>
      <c r="F415" s="1601" t="s">
        <v>5098</v>
      </c>
      <c r="G415" s="1601">
        <v>90</v>
      </c>
      <c r="H415" s="1670" t="s">
        <v>1858</v>
      </c>
      <c r="I415" s="1601" t="s">
        <v>970</v>
      </c>
      <c r="J415" s="1497">
        <v>-20</v>
      </c>
      <c r="K415" s="1497">
        <v>0</v>
      </c>
      <c r="L415" s="1603" t="s">
        <v>5146</v>
      </c>
      <c r="M415" s="1604">
        <v>44589</v>
      </c>
    </row>
    <row r="416" spans="1:13" s="1353" customFormat="1" ht="29">
      <c r="A416" s="1601">
        <v>409</v>
      </c>
      <c r="B416" s="1602" t="s">
        <v>1022</v>
      </c>
      <c r="C416" s="1603" t="s">
        <v>2293</v>
      </c>
      <c r="D416" s="1602" t="s">
        <v>629</v>
      </c>
      <c r="E416" s="1603" t="s">
        <v>4903</v>
      </c>
      <c r="F416" s="1601" t="s">
        <v>5098</v>
      </c>
      <c r="G416" s="1601">
        <v>85</v>
      </c>
      <c r="H416" s="1602" t="s">
        <v>1857</v>
      </c>
      <c r="I416" s="1601" t="s">
        <v>968</v>
      </c>
      <c r="J416" s="1497"/>
      <c r="K416" s="1497">
        <v>-5</v>
      </c>
      <c r="L416" s="1603" t="s">
        <v>5147</v>
      </c>
      <c r="M416" s="1604">
        <v>44589</v>
      </c>
    </row>
    <row r="417" spans="1:13" s="1353" customFormat="1" ht="29">
      <c r="A417" s="1601">
        <v>410</v>
      </c>
      <c r="B417" s="1602" t="s">
        <v>1022</v>
      </c>
      <c r="C417" s="1603" t="s">
        <v>2293</v>
      </c>
      <c r="D417" s="1602" t="s">
        <v>629</v>
      </c>
      <c r="E417" s="1603" t="s">
        <v>4903</v>
      </c>
      <c r="F417" s="1601" t="s">
        <v>5098</v>
      </c>
      <c r="G417" s="1601">
        <v>85</v>
      </c>
      <c r="H417" s="1602" t="s">
        <v>1857</v>
      </c>
      <c r="I417" s="1601" t="s">
        <v>980</v>
      </c>
      <c r="J417" s="1497"/>
      <c r="K417" s="1497">
        <v>-5</v>
      </c>
      <c r="L417" s="1603" t="s">
        <v>5147</v>
      </c>
      <c r="M417" s="1604">
        <v>44589</v>
      </c>
    </row>
    <row r="418" spans="1:13" s="1353" customFormat="1" ht="29">
      <c r="A418" s="1601">
        <v>411</v>
      </c>
      <c r="B418" s="1602" t="s">
        <v>1022</v>
      </c>
      <c r="C418" s="1603" t="s">
        <v>2293</v>
      </c>
      <c r="D418" s="1602" t="s">
        <v>629</v>
      </c>
      <c r="E418" s="1603" t="s">
        <v>4903</v>
      </c>
      <c r="F418" s="1601" t="s">
        <v>5098</v>
      </c>
      <c r="G418" s="1601">
        <v>85</v>
      </c>
      <c r="H418" s="1602" t="s">
        <v>1857</v>
      </c>
      <c r="I418" s="1601" t="s">
        <v>985</v>
      </c>
      <c r="J418" s="1497"/>
      <c r="K418" s="1497">
        <v>-5</v>
      </c>
      <c r="L418" s="1603" t="s">
        <v>5147</v>
      </c>
      <c r="M418" s="1604">
        <v>44589</v>
      </c>
    </row>
    <row r="419" spans="1:13" s="1353" customFormat="1" ht="29">
      <c r="A419" s="1601">
        <v>412</v>
      </c>
      <c r="B419" s="1602" t="s">
        <v>1022</v>
      </c>
      <c r="C419" s="1603" t="s">
        <v>2293</v>
      </c>
      <c r="D419" s="1602" t="s">
        <v>629</v>
      </c>
      <c r="E419" s="1603" t="s">
        <v>4903</v>
      </c>
      <c r="F419" s="1601" t="s">
        <v>5098</v>
      </c>
      <c r="G419" s="1601">
        <v>85</v>
      </c>
      <c r="H419" s="1602" t="s">
        <v>1857</v>
      </c>
      <c r="I419" s="1601" t="s">
        <v>958</v>
      </c>
      <c r="J419" s="1497"/>
      <c r="K419" s="1497">
        <v>-5</v>
      </c>
      <c r="L419" s="1603" t="s">
        <v>5147</v>
      </c>
      <c r="M419" s="1604">
        <v>44589</v>
      </c>
    </row>
    <row r="420" spans="1:13" s="1353" customFormat="1" ht="29">
      <c r="A420" s="1601">
        <v>413</v>
      </c>
      <c r="B420" s="1602" t="s">
        <v>1022</v>
      </c>
      <c r="C420" s="1603" t="s">
        <v>2293</v>
      </c>
      <c r="D420" s="1602" t="s">
        <v>629</v>
      </c>
      <c r="E420" s="1603" t="s">
        <v>4903</v>
      </c>
      <c r="F420" s="1601" t="s">
        <v>5098</v>
      </c>
      <c r="G420" s="1601">
        <v>85</v>
      </c>
      <c r="H420" s="1602" t="s">
        <v>1857</v>
      </c>
      <c r="I420" s="1601" t="s">
        <v>970</v>
      </c>
      <c r="J420" s="1497"/>
      <c r="K420" s="1497">
        <v>-5</v>
      </c>
      <c r="L420" s="1603" t="s">
        <v>5147</v>
      </c>
      <c r="M420" s="1604">
        <v>44589</v>
      </c>
    </row>
    <row r="421" spans="1:13" s="1353" customFormat="1" ht="29">
      <c r="A421" s="1601">
        <v>414</v>
      </c>
      <c r="B421" s="1602" t="s">
        <v>1022</v>
      </c>
      <c r="C421" s="1603" t="s">
        <v>2293</v>
      </c>
      <c r="D421" s="1602" t="s">
        <v>629</v>
      </c>
      <c r="E421" s="1603" t="s">
        <v>4903</v>
      </c>
      <c r="F421" s="1601" t="s">
        <v>5098</v>
      </c>
      <c r="G421" s="1601">
        <v>90</v>
      </c>
      <c r="H421" s="1670" t="s">
        <v>1858</v>
      </c>
      <c r="I421" s="1601" t="s">
        <v>968</v>
      </c>
      <c r="J421" s="1497">
        <v>-5</v>
      </c>
      <c r="K421" s="1497">
        <v>0</v>
      </c>
      <c r="L421" s="1603" t="s">
        <v>5146</v>
      </c>
      <c r="M421" s="1604">
        <v>44589</v>
      </c>
    </row>
    <row r="422" spans="1:13" s="1353" customFormat="1" ht="29">
      <c r="A422" s="1601">
        <v>415</v>
      </c>
      <c r="B422" s="1602" t="s">
        <v>1022</v>
      </c>
      <c r="C422" s="1603" t="s">
        <v>2293</v>
      </c>
      <c r="D422" s="1602" t="s">
        <v>629</v>
      </c>
      <c r="E422" s="1603" t="s">
        <v>4903</v>
      </c>
      <c r="F422" s="1601" t="s">
        <v>5098</v>
      </c>
      <c r="G422" s="1601">
        <v>90</v>
      </c>
      <c r="H422" s="1670" t="s">
        <v>1858</v>
      </c>
      <c r="I422" s="1601" t="s">
        <v>980</v>
      </c>
      <c r="J422" s="1497">
        <v>-5</v>
      </c>
      <c r="K422" s="1497">
        <v>0</v>
      </c>
      <c r="L422" s="1603" t="s">
        <v>5146</v>
      </c>
      <c r="M422" s="1604">
        <v>44589</v>
      </c>
    </row>
    <row r="423" spans="1:13" s="1353" customFormat="1" ht="29">
      <c r="A423" s="1601">
        <v>416</v>
      </c>
      <c r="B423" s="1602" t="s">
        <v>1022</v>
      </c>
      <c r="C423" s="1603" t="s">
        <v>2293</v>
      </c>
      <c r="D423" s="1602" t="s">
        <v>629</v>
      </c>
      <c r="E423" s="1603" t="s">
        <v>4903</v>
      </c>
      <c r="F423" s="1601" t="s">
        <v>5098</v>
      </c>
      <c r="G423" s="1601">
        <v>90</v>
      </c>
      <c r="H423" s="1670" t="s">
        <v>1858</v>
      </c>
      <c r="I423" s="1601" t="s">
        <v>985</v>
      </c>
      <c r="J423" s="1497">
        <v>-5</v>
      </c>
      <c r="K423" s="1497">
        <v>0</v>
      </c>
      <c r="L423" s="1603" t="s">
        <v>5146</v>
      </c>
      <c r="M423" s="1604">
        <v>44589</v>
      </c>
    </row>
    <row r="424" spans="1:13" s="1353" customFormat="1" ht="29">
      <c r="A424" s="1601">
        <v>417</v>
      </c>
      <c r="B424" s="1602" t="s">
        <v>1022</v>
      </c>
      <c r="C424" s="1603" t="s">
        <v>2293</v>
      </c>
      <c r="D424" s="1602" t="s">
        <v>629</v>
      </c>
      <c r="E424" s="1603" t="s">
        <v>4903</v>
      </c>
      <c r="F424" s="1601" t="s">
        <v>5098</v>
      </c>
      <c r="G424" s="1601">
        <v>90</v>
      </c>
      <c r="H424" s="1670" t="s">
        <v>1858</v>
      </c>
      <c r="I424" s="1601" t="s">
        <v>958</v>
      </c>
      <c r="J424" s="1497">
        <v>-5</v>
      </c>
      <c r="K424" s="1497">
        <v>0</v>
      </c>
      <c r="L424" s="1603" t="s">
        <v>5146</v>
      </c>
      <c r="M424" s="1604">
        <v>44589</v>
      </c>
    </row>
    <row r="425" spans="1:13" s="1353" customFormat="1" ht="29">
      <c r="A425" s="1601">
        <v>418</v>
      </c>
      <c r="B425" s="1602" t="s">
        <v>1022</v>
      </c>
      <c r="C425" s="1603" t="s">
        <v>2293</v>
      </c>
      <c r="D425" s="1602" t="s">
        <v>629</v>
      </c>
      <c r="E425" s="1603" t="s">
        <v>4903</v>
      </c>
      <c r="F425" s="1601" t="s">
        <v>5098</v>
      </c>
      <c r="G425" s="1601">
        <v>90</v>
      </c>
      <c r="H425" s="1670" t="s">
        <v>1858</v>
      </c>
      <c r="I425" s="1601" t="s">
        <v>970</v>
      </c>
      <c r="J425" s="1497">
        <v>-5</v>
      </c>
      <c r="K425" s="1497">
        <v>0</v>
      </c>
      <c r="L425" s="1603" t="s">
        <v>5146</v>
      </c>
      <c r="M425" s="1604">
        <v>44589</v>
      </c>
    </row>
    <row r="426" spans="1:13" s="1353" customFormat="1" ht="29">
      <c r="A426" s="1601">
        <v>419</v>
      </c>
      <c r="B426" s="1602" t="s">
        <v>972</v>
      </c>
      <c r="C426" s="1603" t="s">
        <v>2078</v>
      </c>
      <c r="D426" s="1602" t="s">
        <v>629</v>
      </c>
      <c r="E426" s="1603" t="s">
        <v>4903</v>
      </c>
      <c r="F426" s="1601" t="s">
        <v>5098</v>
      </c>
      <c r="G426" s="1601">
        <v>85</v>
      </c>
      <c r="H426" s="1602" t="s">
        <v>1857</v>
      </c>
      <c r="I426" s="1601" t="s">
        <v>968</v>
      </c>
      <c r="J426" s="1782"/>
      <c r="K426" s="1782">
        <v>-109.5</v>
      </c>
      <c r="L426" s="1603" t="s">
        <v>5148</v>
      </c>
      <c r="M426" s="1618">
        <v>44589</v>
      </c>
    </row>
    <row r="427" spans="1:13" s="1353" customFormat="1" ht="29">
      <c r="A427" s="1601">
        <v>420</v>
      </c>
      <c r="B427" s="1602" t="s">
        <v>972</v>
      </c>
      <c r="C427" s="1603" t="s">
        <v>2078</v>
      </c>
      <c r="D427" s="1602" t="s">
        <v>629</v>
      </c>
      <c r="E427" s="1603" t="s">
        <v>4903</v>
      </c>
      <c r="F427" s="1601" t="s">
        <v>5098</v>
      </c>
      <c r="G427" s="1601">
        <v>85</v>
      </c>
      <c r="H427" s="1602" t="s">
        <v>1857</v>
      </c>
      <c r="I427" s="1601" t="s">
        <v>980</v>
      </c>
      <c r="J427" s="1782"/>
      <c r="K427" s="1782">
        <v>-109.5</v>
      </c>
      <c r="L427" s="1603" t="s">
        <v>5148</v>
      </c>
      <c r="M427" s="1604">
        <v>44589</v>
      </c>
    </row>
    <row r="428" spans="1:13" s="1353" customFormat="1" ht="29">
      <c r="A428" s="1601">
        <v>421</v>
      </c>
      <c r="B428" s="1602" t="s">
        <v>972</v>
      </c>
      <c r="C428" s="1603" t="s">
        <v>2078</v>
      </c>
      <c r="D428" s="1602" t="s">
        <v>629</v>
      </c>
      <c r="E428" s="1603" t="s">
        <v>4903</v>
      </c>
      <c r="F428" s="1601" t="s">
        <v>5098</v>
      </c>
      <c r="G428" s="1601">
        <v>85</v>
      </c>
      <c r="H428" s="1602" t="s">
        <v>1857</v>
      </c>
      <c r="I428" s="1601" t="s">
        <v>985</v>
      </c>
      <c r="J428" s="1782"/>
      <c r="K428" s="1782">
        <v>-109.5</v>
      </c>
      <c r="L428" s="1603" t="s">
        <v>5148</v>
      </c>
      <c r="M428" s="1604">
        <v>44589</v>
      </c>
    </row>
    <row r="429" spans="1:13" s="1353" customFormat="1" ht="29">
      <c r="A429" s="1601">
        <v>422</v>
      </c>
      <c r="B429" s="1602" t="s">
        <v>972</v>
      </c>
      <c r="C429" s="1603" t="s">
        <v>2078</v>
      </c>
      <c r="D429" s="1602" t="s">
        <v>629</v>
      </c>
      <c r="E429" s="1603" t="s">
        <v>4903</v>
      </c>
      <c r="F429" s="1601" t="s">
        <v>5098</v>
      </c>
      <c r="G429" s="1601">
        <v>85</v>
      </c>
      <c r="H429" s="1602" t="s">
        <v>1857</v>
      </c>
      <c r="I429" s="1601" t="s">
        <v>958</v>
      </c>
      <c r="J429" s="1782"/>
      <c r="K429" s="1782">
        <v>-109.5</v>
      </c>
      <c r="L429" s="1603" t="s">
        <v>5148</v>
      </c>
      <c r="M429" s="1604">
        <v>44589</v>
      </c>
    </row>
    <row r="430" spans="1:13" s="1353" customFormat="1" ht="29">
      <c r="A430" s="1601">
        <v>423</v>
      </c>
      <c r="B430" s="1602" t="s">
        <v>972</v>
      </c>
      <c r="C430" s="1603" t="s">
        <v>2078</v>
      </c>
      <c r="D430" s="1602" t="s">
        <v>629</v>
      </c>
      <c r="E430" s="1603" t="s">
        <v>4903</v>
      </c>
      <c r="F430" s="1601" t="s">
        <v>5098</v>
      </c>
      <c r="G430" s="1601">
        <v>85</v>
      </c>
      <c r="H430" s="1602" t="s">
        <v>1857</v>
      </c>
      <c r="I430" s="1601" t="s">
        <v>970</v>
      </c>
      <c r="J430" s="1782"/>
      <c r="K430" s="1782">
        <v>-109.5</v>
      </c>
      <c r="L430" s="1603" t="s">
        <v>5148</v>
      </c>
      <c r="M430" s="1604">
        <v>44589</v>
      </c>
    </row>
    <row r="431" spans="1:13" s="1353" customFormat="1" ht="29">
      <c r="A431" s="1601">
        <v>424</v>
      </c>
      <c r="B431" s="1602" t="s">
        <v>972</v>
      </c>
      <c r="C431" s="1603" t="s">
        <v>2078</v>
      </c>
      <c r="D431" s="1602" t="s">
        <v>629</v>
      </c>
      <c r="E431" s="1603" t="s">
        <v>4903</v>
      </c>
      <c r="F431" s="1601" t="s">
        <v>5098</v>
      </c>
      <c r="G431" s="1601">
        <v>90</v>
      </c>
      <c r="H431" s="1670" t="s">
        <v>1858</v>
      </c>
      <c r="I431" s="1601" t="s">
        <v>968</v>
      </c>
      <c r="J431" s="1782">
        <v>-109.5</v>
      </c>
      <c r="K431" s="1782">
        <v>0</v>
      </c>
      <c r="L431" s="1603" t="s">
        <v>5146</v>
      </c>
      <c r="M431" s="1604">
        <v>44589</v>
      </c>
    </row>
    <row r="432" spans="1:13" s="1353" customFormat="1" ht="29">
      <c r="A432" s="1601">
        <v>425</v>
      </c>
      <c r="B432" s="1602" t="s">
        <v>972</v>
      </c>
      <c r="C432" s="1603" t="s">
        <v>2078</v>
      </c>
      <c r="D432" s="1602" t="s">
        <v>629</v>
      </c>
      <c r="E432" s="1603" t="s">
        <v>4903</v>
      </c>
      <c r="F432" s="1601" t="s">
        <v>5098</v>
      </c>
      <c r="G432" s="1601">
        <v>90</v>
      </c>
      <c r="H432" s="1670" t="s">
        <v>1858</v>
      </c>
      <c r="I432" s="1601" t="s">
        <v>980</v>
      </c>
      <c r="J432" s="1782">
        <v>-109.5</v>
      </c>
      <c r="K432" s="1782">
        <v>0</v>
      </c>
      <c r="L432" s="1603" t="s">
        <v>5146</v>
      </c>
      <c r="M432" s="1604">
        <v>44589</v>
      </c>
    </row>
    <row r="433" spans="1:13" s="1353" customFormat="1" ht="29">
      <c r="A433" s="1601">
        <v>426</v>
      </c>
      <c r="B433" s="1602" t="s">
        <v>972</v>
      </c>
      <c r="C433" s="1603" t="s">
        <v>2078</v>
      </c>
      <c r="D433" s="1602" t="s">
        <v>629</v>
      </c>
      <c r="E433" s="1603" t="s">
        <v>4903</v>
      </c>
      <c r="F433" s="1601" t="s">
        <v>5098</v>
      </c>
      <c r="G433" s="1601">
        <v>90</v>
      </c>
      <c r="H433" s="1670" t="s">
        <v>1858</v>
      </c>
      <c r="I433" s="1601" t="s">
        <v>985</v>
      </c>
      <c r="J433" s="1782">
        <v>-109.5</v>
      </c>
      <c r="K433" s="1782">
        <v>0</v>
      </c>
      <c r="L433" s="1603" t="s">
        <v>5146</v>
      </c>
      <c r="M433" s="1604">
        <v>44589</v>
      </c>
    </row>
    <row r="434" spans="1:13" s="1353" customFormat="1" ht="29">
      <c r="A434" s="1601">
        <v>427</v>
      </c>
      <c r="B434" s="1602" t="s">
        <v>972</v>
      </c>
      <c r="C434" s="1603" t="s">
        <v>2078</v>
      </c>
      <c r="D434" s="1602" t="s">
        <v>629</v>
      </c>
      <c r="E434" s="1603" t="s">
        <v>4903</v>
      </c>
      <c r="F434" s="1601" t="s">
        <v>5098</v>
      </c>
      <c r="G434" s="1601">
        <v>90</v>
      </c>
      <c r="H434" s="1670" t="s">
        <v>1858</v>
      </c>
      <c r="I434" s="1601" t="s">
        <v>958</v>
      </c>
      <c r="J434" s="1782">
        <v>-109.5</v>
      </c>
      <c r="K434" s="1782">
        <v>0</v>
      </c>
      <c r="L434" s="1603" t="s">
        <v>5146</v>
      </c>
      <c r="M434" s="1604">
        <v>44589</v>
      </c>
    </row>
    <row r="435" spans="1:13" s="1353" customFormat="1" ht="29">
      <c r="A435" s="1601">
        <v>428</v>
      </c>
      <c r="B435" s="1602" t="s">
        <v>972</v>
      </c>
      <c r="C435" s="1603" t="s">
        <v>2078</v>
      </c>
      <c r="D435" s="1602" t="s">
        <v>629</v>
      </c>
      <c r="E435" s="1603" t="s">
        <v>4903</v>
      </c>
      <c r="F435" s="1601" t="s">
        <v>5098</v>
      </c>
      <c r="G435" s="1601">
        <v>90</v>
      </c>
      <c r="H435" s="1670" t="s">
        <v>1858</v>
      </c>
      <c r="I435" s="1601" t="s">
        <v>970</v>
      </c>
      <c r="J435" s="1782">
        <v>-109.5</v>
      </c>
      <c r="K435" s="1782">
        <v>0</v>
      </c>
      <c r="L435" s="1603" t="s">
        <v>5146</v>
      </c>
      <c r="M435" s="1604">
        <v>44589</v>
      </c>
    </row>
    <row r="436" spans="1:13" s="1353" customFormat="1" ht="58">
      <c r="A436" s="1601">
        <v>429</v>
      </c>
      <c r="B436" s="1603" t="s">
        <v>5045</v>
      </c>
      <c r="C436" s="1597"/>
      <c r="D436" s="1598" t="s">
        <v>5046</v>
      </c>
      <c r="E436" s="1603" t="s">
        <v>788</v>
      </c>
      <c r="F436" s="1601" t="s">
        <v>5098</v>
      </c>
      <c r="G436" s="1661" t="s">
        <v>5149</v>
      </c>
      <c r="H436" s="1601" t="s">
        <v>5149</v>
      </c>
      <c r="I436" s="1601" t="s">
        <v>4962</v>
      </c>
      <c r="J436" s="1785" t="s">
        <v>5048</v>
      </c>
      <c r="K436" s="1601"/>
      <c r="L436" s="1598" t="s">
        <v>5150</v>
      </c>
      <c r="M436" s="1851">
        <v>44634</v>
      </c>
    </row>
    <row r="437" spans="1:13" s="1353" customFormat="1" ht="58">
      <c r="A437" s="1868">
        <f>A436+1</f>
        <v>430</v>
      </c>
      <c r="B437" s="1870" t="s">
        <v>990</v>
      </c>
      <c r="C437" s="1869" t="s">
        <v>1136</v>
      </c>
      <c r="D437" s="1870" t="s">
        <v>1135</v>
      </c>
      <c r="E437" s="1870" t="s">
        <v>5054</v>
      </c>
      <c r="F437" s="1868" t="s">
        <v>5098</v>
      </c>
      <c r="G437" s="1871">
        <v>41</v>
      </c>
      <c r="H437" s="1868" t="s">
        <v>1090</v>
      </c>
      <c r="I437" s="1868" t="s">
        <v>874</v>
      </c>
      <c r="J437" s="1875" t="s">
        <v>978</v>
      </c>
      <c r="K437" s="1868" t="s">
        <v>966</v>
      </c>
      <c r="L437" s="1870" t="s">
        <v>5055</v>
      </c>
      <c r="M437" s="1876">
        <v>44900</v>
      </c>
    </row>
    <row r="438" spans="1:13" s="1353" customFormat="1" ht="29">
      <c r="A438" s="1882">
        <f t="shared" ref="A438:A456" si="0">A437+1</f>
        <v>431</v>
      </c>
      <c r="B438" s="1884" t="s">
        <v>999</v>
      </c>
      <c r="C438" s="1883" t="s">
        <v>3607</v>
      </c>
      <c r="D438" s="1884" t="s">
        <v>629</v>
      </c>
      <c r="E438" s="1884" t="s">
        <v>5073</v>
      </c>
      <c r="F438" s="1882" t="s">
        <v>5098</v>
      </c>
      <c r="G438" s="1885">
        <v>100</v>
      </c>
      <c r="H438" s="1882" t="s">
        <v>1860</v>
      </c>
      <c r="I438" s="1882" t="s">
        <v>968</v>
      </c>
      <c r="J438" s="1924"/>
      <c r="K438" s="1913">
        <v>3</v>
      </c>
      <c r="L438" s="1914" t="s">
        <v>5074</v>
      </c>
      <c r="M438" s="1886">
        <v>44915</v>
      </c>
    </row>
    <row r="439" spans="1:13" s="1353" customFormat="1" ht="29">
      <c r="A439" s="1882">
        <f t="shared" si="0"/>
        <v>432</v>
      </c>
      <c r="B439" s="1884" t="s">
        <v>999</v>
      </c>
      <c r="C439" s="1883" t="s">
        <v>3607</v>
      </c>
      <c r="D439" s="1884" t="s">
        <v>629</v>
      </c>
      <c r="E439" s="1884" t="s">
        <v>5073</v>
      </c>
      <c r="F439" s="1882" t="s">
        <v>5098</v>
      </c>
      <c r="G439" s="1885">
        <v>100</v>
      </c>
      <c r="H439" s="1882" t="s">
        <v>1860</v>
      </c>
      <c r="I439" s="1882" t="s">
        <v>980</v>
      </c>
      <c r="J439" s="1924"/>
      <c r="K439" s="1913">
        <v>6</v>
      </c>
      <c r="L439" s="1914" t="s">
        <v>5074</v>
      </c>
      <c r="M439" s="1886">
        <v>44915</v>
      </c>
    </row>
    <row r="440" spans="1:13" s="1353" customFormat="1" ht="29">
      <c r="A440" s="1882">
        <f t="shared" si="0"/>
        <v>433</v>
      </c>
      <c r="B440" s="1884" t="s">
        <v>999</v>
      </c>
      <c r="C440" s="1883" t="s">
        <v>3607</v>
      </c>
      <c r="D440" s="1884" t="s">
        <v>629</v>
      </c>
      <c r="E440" s="1884" t="s">
        <v>5073</v>
      </c>
      <c r="F440" s="1882" t="s">
        <v>5098</v>
      </c>
      <c r="G440" s="1885">
        <v>100</v>
      </c>
      <c r="H440" s="1882" t="s">
        <v>1860</v>
      </c>
      <c r="I440" s="1882" t="s">
        <v>985</v>
      </c>
      <c r="J440" s="1924"/>
      <c r="K440" s="1913">
        <v>9.1</v>
      </c>
      <c r="L440" s="1914" t="s">
        <v>5074</v>
      </c>
      <c r="M440" s="1886">
        <v>44915</v>
      </c>
    </row>
    <row r="441" spans="1:13" s="1353" customFormat="1" ht="29">
      <c r="A441" s="1882">
        <f t="shared" si="0"/>
        <v>434</v>
      </c>
      <c r="B441" s="1884" t="s">
        <v>999</v>
      </c>
      <c r="C441" s="1883" t="s">
        <v>3607</v>
      </c>
      <c r="D441" s="1884" t="s">
        <v>629</v>
      </c>
      <c r="E441" s="1884" t="s">
        <v>5073</v>
      </c>
      <c r="F441" s="1882" t="s">
        <v>5098</v>
      </c>
      <c r="G441" s="1885">
        <v>100</v>
      </c>
      <c r="H441" s="1882" t="s">
        <v>1860</v>
      </c>
      <c r="I441" s="1882" t="s">
        <v>958</v>
      </c>
      <c r="J441" s="1924"/>
      <c r="K441" s="1913">
        <v>12.3</v>
      </c>
      <c r="L441" s="1914" t="s">
        <v>5074</v>
      </c>
      <c r="M441" s="1886">
        <v>44915</v>
      </c>
    </row>
    <row r="442" spans="1:13" s="1353" customFormat="1" ht="29">
      <c r="A442" s="1882">
        <f t="shared" si="0"/>
        <v>435</v>
      </c>
      <c r="B442" s="1884" t="s">
        <v>999</v>
      </c>
      <c r="C442" s="1883" t="s">
        <v>3607</v>
      </c>
      <c r="D442" s="1884" t="s">
        <v>629</v>
      </c>
      <c r="E442" s="1884" t="s">
        <v>5073</v>
      </c>
      <c r="F442" s="1882" t="s">
        <v>5098</v>
      </c>
      <c r="G442" s="1885">
        <v>100</v>
      </c>
      <c r="H442" s="1882" t="s">
        <v>1860</v>
      </c>
      <c r="I442" s="1882" t="s">
        <v>970</v>
      </c>
      <c r="J442" s="1924"/>
      <c r="K442" s="1913">
        <v>15.6</v>
      </c>
      <c r="L442" s="1914" t="s">
        <v>5074</v>
      </c>
      <c r="M442" s="1886">
        <v>44915</v>
      </c>
    </row>
    <row r="443" spans="1:13" s="1353" customFormat="1" ht="29">
      <c r="A443" s="1882">
        <f t="shared" si="0"/>
        <v>436</v>
      </c>
      <c r="B443" s="1884" t="s">
        <v>1022</v>
      </c>
      <c r="C443" s="1883" t="s">
        <v>2293</v>
      </c>
      <c r="D443" s="1884" t="s">
        <v>629</v>
      </c>
      <c r="E443" s="1884" t="s">
        <v>1022</v>
      </c>
      <c r="F443" s="1882" t="s">
        <v>5098</v>
      </c>
      <c r="G443" s="1885">
        <v>115</v>
      </c>
      <c r="H443" s="2037" t="s">
        <v>1907</v>
      </c>
      <c r="I443" s="1882" t="s">
        <v>874</v>
      </c>
      <c r="J443" s="1924">
        <v>-0.191</v>
      </c>
      <c r="K443" s="1882">
        <v>-0.26200000000000001</v>
      </c>
      <c r="L443" s="1884" t="s">
        <v>5151</v>
      </c>
      <c r="M443" s="2038">
        <v>45002</v>
      </c>
    </row>
    <row r="444" spans="1:13" s="1353" customFormat="1" ht="29">
      <c r="A444" s="1882">
        <f t="shared" si="0"/>
        <v>437</v>
      </c>
      <c r="B444" s="1884" t="s">
        <v>1022</v>
      </c>
      <c r="C444" s="1883" t="s">
        <v>2293</v>
      </c>
      <c r="D444" s="1884" t="s">
        <v>629</v>
      </c>
      <c r="E444" s="1884" t="s">
        <v>1022</v>
      </c>
      <c r="F444" s="1882" t="s">
        <v>5098</v>
      </c>
      <c r="G444" s="1885">
        <v>115</v>
      </c>
      <c r="H444" s="2037" t="s">
        <v>1908</v>
      </c>
      <c r="I444" s="1882" t="s">
        <v>874</v>
      </c>
      <c r="J444" s="1924">
        <v>-0.26200000000000001</v>
      </c>
      <c r="K444" s="1882">
        <v>-0.191</v>
      </c>
      <c r="L444" s="1884" t="s">
        <v>5152</v>
      </c>
      <c r="M444" s="2038">
        <v>45002</v>
      </c>
    </row>
    <row r="445" spans="1:13" s="1353" customFormat="1" ht="43.5">
      <c r="A445" s="1882">
        <f t="shared" si="0"/>
        <v>438</v>
      </c>
      <c r="B445" s="1884" t="s">
        <v>1003</v>
      </c>
      <c r="C445" s="1883" t="s">
        <v>3791</v>
      </c>
      <c r="D445" s="1884" t="s">
        <v>629</v>
      </c>
      <c r="E445" s="1884" t="s">
        <v>5153</v>
      </c>
      <c r="F445" s="1882" t="s">
        <v>5098</v>
      </c>
      <c r="G445" s="1885">
        <v>59</v>
      </c>
      <c r="H445" s="1882" t="s">
        <v>1855</v>
      </c>
      <c r="I445" s="1882" t="s">
        <v>970</v>
      </c>
      <c r="J445" s="1924">
        <v>20.399999999999999</v>
      </c>
      <c r="K445" s="1882">
        <v>20.5</v>
      </c>
      <c r="L445" s="2044" t="s">
        <v>5154</v>
      </c>
      <c r="M445" s="2038">
        <v>45009</v>
      </c>
    </row>
    <row r="446" spans="1:13" s="1353" customFormat="1" ht="43.5">
      <c r="A446" s="1882">
        <f t="shared" si="0"/>
        <v>439</v>
      </c>
      <c r="B446" s="1884" t="s">
        <v>1003</v>
      </c>
      <c r="C446" s="1883" t="s">
        <v>3779</v>
      </c>
      <c r="D446" s="1884" t="s">
        <v>178</v>
      </c>
      <c r="E446" s="1884" t="s">
        <v>5153</v>
      </c>
      <c r="F446" s="1882" t="s">
        <v>5098</v>
      </c>
      <c r="G446" s="1885">
        <v>59</v>
      </c>
      <c r="H446" s="1882" t="s">
        <v>1855</v>
      </c>
      <c r="I446" s="1882" t="s">
        <v>958</v>
      </c>
      <c r="J446" s="1924">
        <v>254.8</v>
      </c>
      <c r="K446" s="1882">
        <v>254.7</v>
      </c>
      <c r="L446" s="2044" t="s">
        <v>5154</v>
      </c>
      <c r="M446" s="2038">
        <v>45009</v>
      </c>
    </row>
    <row r="447" spans="1:13" s="1353" customFormat="1" ht="43.5">
      <c r="A447" s="1882">
        <f t="shared" si="0"/>
        <v>440</v>
      </c>
      <c r="B447" s="1884" t="s">
        <v>1003</v>
      </c>
      <c r="C447" s="1883" t="s">
        <v>3779</v>
      </c>
      <c r="D447" s="1884" t="s">
        <v>178</v>
      </c>
      <c r="E447" s="1884" t="s">
        <v>5153</v>
      </c>
      <c r="F447" s="1882" t="s">
        <v>5098</v>
      </c>
      <c r="G447" s="1885">
        <v>59</v>
      </c>
      <c r="H447" s="1882" t="s">
        <v>1855</v>
      </c>
      <c r="I447" s="1882" t="s">
        <v>970</v>
      </c>
      <c r="J447" s="1924">
        <v>251.1</v>
      </c>
      <c r="K447" s="1882">
        <v>249.3</v>
      </c>
      <c r="L447" s="2044" t="s">
        <v>5154</v>
      </c>
      <c r="M447" s="2038">
        <v>45009</v>
      </c>
    </row>
    <row r="448" spans="1:13" s="1353" customFormat="1" ht="29">
      <c r="A448" s="1882">
        <f t="shared" si="0"/>
        <v>441</v>
      </c>
      <c r="B448" s="1884" t="s">
        <v>972</v>
      </c>
      <c r="C448" s="1883" t="s">
        <v>2085</v>
      </c>
      <c r="D448" s="1884" t="s">
        <v>687</v>
      </c>
      <c r="E448" s="1884" t="s">
        <v>972</v>
      </c>
      <c r="F448" s="1882" t="s">
        <v>5098</v>
      </c>
      <c r="G448" s="1885">
        <v>115</v>
      </c>
      <c r="H448" s="2037" t="s">
        <v>1907</v>
      </c>
      <c r="I448" s="1882" t="s">
        <v>874</v>
      </c>
      <c r="J448" s="1924">
        <v>-10.994</v>
      </c>
      <c r="K448" s="1882">
        <v>-10.944000000000001</v>
      </c>
      <c r="L448" s="1884" t="s">
        <v>5155</v>
      </c>
      <c r="M448" s="2038">
        <v>45065</v>
      </c>
    </row>
    <row r="449" spans="1:13" s="1353" customFormat="1" ht="14.5">
      <c r="A449" s="1861">
        <f t="shared" si="0"/>
        <v>442</v>
      </c>
      <c r="B449" s="1863"/>
      <c r="C449" s="1862"/>
      <c r="D449" s="1863"/>
      <c r="E449" s="1863"/>
      <c r="F449" s="1861"/>
      <c r="G449" s="1864"/>
      <c r="H449" s="1861"/>
      <c r="I449" s="1861"/>
      <c r="J449" s="1866"/>
      <c r="K449" s="1861"/>
      <c r="L449" s="1863"/>
      <c r="M449" s="1867"/>
    </row>
    <row r="450" spans="1:13" s="1353" customFormat="1" ht="14.5">
      <c r="A450" s="1861">
        <f t="shared" si="0"/>
        <v>443</v>
      </c>
      <c r="B450" s="1863"/>
      <c r="C450" s="1862"/>
      <c r="D450" s="1863"/>
      <c r="E450" s="1863"/>
      <c r="F450" s="1861"/>
      <c r="G450" s="1864"/>
      <c r="H450" s="1861"/>
      <c r="I450" s="1861"/>
      <c r="J450" s="1866"/>
      <c r="K450" s="1861"/>
      <c r="L450" s="1863"/>
      <c r="M450" s="1867"/>
    </row>
    <row r="451" spans="1:13" s="1353" customFormat="1" ht="14.5">
      <c r="A451" s="1861">
        <f t="shared" si="0"/>
        <v>444</v>
      </c>
      <c r="B451" s="1863"/>
      <c r="C451" s="1862"/>
      <c r="D451" s="1863"/>
      <c r="E451" s="1863"/>
      <c r="F451" s="1861"/>
      <c r="G451" s="1864"/>
      <c r="H451" s="1861"/>
      <c r="I451" s="1861"/>
      <c r="J451" s="1866"/>
      <c r="K451" s="1861"/>
      <c r="L451" s="1863"/>
      <c r="M451" s="1867"/>
    </row>
    <row r="452" spans="1:13" s="1353" customFormat="1" ht="14.5">
      <c r="A452" s="1861">
        <f t="shared" si="0"/>
        <v>445</v>
      </c>
      <c r="B452" s="1863"/>
      <c r="C452" s="1862"/>
      <c r="D452" s="1863"/>
      <c r="E452" s="1863"/>
      <c r="F452" s="1861"/>
      <c r="G452" s="1864"/>
      <c r="H452" s="1861"/>
      <c r="I452" s="1861"/>
      <c r="J452" s="1866"/>
      <c r="K452" s="1861"/>
      <c r="L452" s="1863"/>
      <c r="M452" s="1867"/>
    </row>
    <row r="453" spans="1:13" s="1353" customFormat="1" ht="14.5">
      <c r="A453" s="1861">
        <f t="shared" si="0"/>
        <v>446</v>
      </c>
      <c r="B453" s="1863"/>
      <c r="C453" s="1862"/>
      <c r="D453" s="1863"/>
      <c r="E453" s="1863"/>
      <c r="F453" s="1861"/>
      <c r="G453" s="1864"/>
      <c r="H453" s="1861"/>
      <c r="I453" s="1861"/>
      <c r="J453" s="1866"/>
      <c r="K453" s="1861"/>
      <c r="L453" s="1863"/>
      <c r="M453" s="1867"/>
    </row>
    <row r="454" spans="1:13" s="1353" customFormat="1" ht="14.5">
      <c r="A454" s="1861">
        <f t="shared" si="0"/>
        <v>447</v>
      </c>
      <c r="B454" s="1863"/>
      <c r="C454" s="1862"/>
      <c r="D454" s="1863"/>
      <c r="E454" s="1863"/>
      <c r="F454" s="1861"/>
      <c r="G454" s="1864"/>
      <c r="H454" s="1861"/>
      <c r="I454" s="1861"/>
      <c r="J454" s="1866"/>
      <c r="K454" s="1861"/>
      <c r="L454" s="1863"/>
      <c r="M454" s="1867"/>
    </row>
    <row r="455" spans="1:13" s="1353" customFormat="1" ht="14.5">
      <c r="A455" s="1861">
        <f t="shared" si="0"/>
        <v>448</v>
      </c>
      <c r="B455" s="1863"/>
      <c r="C455" s="1862"/>
      <c r="D455" s="1863"/>
      <c r="E455" s="1863"/>
      <c r="F455" s="1861"/>
      <c r="G455" s="1864"/>
      <c r="H455" s="1861"/>
      <c r="I455" s="1861"/>
      <c r="J455" s="1866"/>
      <c r="K455" s="1861"/>
      <c r="L455" s="1863"/>
      <c r="M455" s="1867"/>
    </row>
    <row r="456" spans="1:13" s="1353" customFormat="1" ht="14.5">
      <c r="A456" s="1861">
        <f t="shared" si="0"/>
        <v>449</v>
      </c>
      <c r="B456" s="1863"/>
      <c r="C456" s="1862"/>
      <c r="D456" s="1863"/>
      <c r="E456" s="1863"/>
      <c r="F456" s="1861"/>
      <c r="G456" s="1864"/>
      <c r="H456" s="1861"/>
      <c r="I456" s="1861"/>
      <c r="J456" s="1866"/>
      <c r="K456" s="1861"/>
      <c r="L456" s="1863"/>
      <c r="M456" s="1867"/>
    </row>
    <row r="457" spans="1:13" s="1353" customFormat="1" ht="14.5">
      <c r="A457" s="1861">
        <f t="shared" ref="A457" si="1">A456+1</f>
        <v>450</v>
      </c>
      <c r="B457" s="1863"/>
      <c r="C457" s="1862"/>
      <c r="D457" s="1863"/>
      <c r="E457" s="1863"/>
      <c r="F457" s="1861"/>
      <c r="G457" s="1864"/>
      <c r="H457" s="1861"/>
      <c r="I457" s="1861"/>
      <c r="J457" s="1866"/>
      <c r="K457" s="1861"/>
      <c r="L457" s="1863"/>
      <c r="M457" s="1867"/>
    </row>
    <row r="458" spans="1:13" s="1353" customFormat="1" ht="14.5">
      <c r="B458" s="1506"/>
      <c r="D458" s="2151"/>
      <c r="E458" s="2151"/>
      <c r="F458" s="1551"/>
      <c r="G458" s="1551"/>
      <c r="H458" s="1551"/>
      <c r="I458" s="1551"/>
      <c r="J458" s="1551"/>
      <c r="K458" s="1551"/>
      <c r="L458" s="2151"/>
    </row>
    <row r="459" spans="1:13" s="1353" customFormat="1" ht="14.5">
      <c r="B459" s="1506"/>
      <c r="D459" s="2151"/>
      <c r="E459" s="2151"/>
      <c r="F459" s="1551"/>
      <c r="G459" s="1551"/>
      <c r="H459" s="1551"/>
      <c r="I459" s="1551"/>
      <c r="J459" s="1551"/>
      <c r="K459" s="1551"/>
      <c r="L459" s="2151"/>
    </row>
    <row r="460" spans="1:13" s="1353" customFormat="1" ht="14.5">
      <c r="B460" s="1506"/>
      <c r="D460" s="2151"/>
      <c r="E460" s="2151"/>
      <c r="F460" s="1551"/>
      <c r="G460" s="1551"/>
      <c r="H460" s="1551"/>
      <c r="I460" s="1551"/>
      <c r="J460" s="1551"/>
      <c r="K460" s="1551"/>
      <c r="L460" s="2151"/>
    </row>
    <row r="461" spans="1:13" s="1353" customFormat="1" ht="14.5">
      <c r="B461" s="1506"/>
      <c r="D461" s="2151"/>
      <c r="E461" s="2151"/>
      <c r="F461" s="1551"/>
      <c r="G461" s="1551"/>
      <c r="H461" s="1551"/>
      <c r="I461" s="1551"/>
      <c r="J461" s="1551"/>
      <c r="K461" s="1551"/>
      <c r="L461" s="2151"/>
    </row>
    <row r="462" spans="1:13" s="1353" customFormat="1" ht="14.5">
      <c r="B462" s="1506"/>
      <c r="D462" s="2151"/>
      <c r="E462" s="2151"/>
      <c r="F462" s="1551"/>
      <c r="G462" s="1551"/>
      <c r="H462" s="1551"/>
      <c r="I462" s="1551"/>
      <c r="J462" s="1551"/>
      <c r="K462" s="1551"/>
      <c r="L462" s="2151"/>
    </row>
    <row r="463" spans="1:13" s="1353" customFormat="1" ht="14.5">
      <c r="B463" s="1506"/>
      <c r="D463" s="2151"/>
      <c r="E463" s="2151"/>
      <c r="F463" s="1551"/>
      <c r="G463" s="1551"/>
      <c r="H463" s="1551"/>
      <c r="I463" s="1551"/>
      <c r="J463" s="1551"/>
      <c r="K463" s="1551"/>
      <c r="L463" s="2151"/>
    </row>
    <row r="464" spans="1:13" s="1353" customFormat="1" ht="14.5">
      <c r="B464" s="1506"/>
      <c r="D464" s="2151"/>
      <c r="E464" s="2151"/>
      <c r="F464" s="1551"/>
      <c r="G464" s="1551"/>
      <c r="H464" s="1551"/>
      <c r="I464" s="1551"/>
      <c r="J464" s="1551"/>
      <c r="K464" s="1551"/>
      <c r="L464" s="2151"/>
    </row>
    <row r="465" spans="2:12" s="1353" customFormat="1" ht="14.5">
      <c r="B465" s="1506"/>
      <c r="D465" s="2151"/>
      <c r="E465" s="2151"/>
      <c r="F465" s="1551"/>
      <c r="G465" s="1551"/>
      <c r="H465" s="1551"/>
      <c r="I465" s="1551"/>
      <c r="J465" s="1551"/>
      <c r="K465" s="1551"/>
      <c r="L465" s="2151"/>
    </row>
    <row r="466" spans="2:12" s="1353" customFormat="1" ht="14.5">
      <c r="B466" s="1506"/>
      <c r="D466" s="2151"/>
      <c r="E466" s="2151"/>
      <c r="F466" s="1551"/>
      <c r="G466" s="1551"/>
      <c r="H466" s="1551"/>
      <c r="I466" s="1551"/>
      <c r="J466" s="1551"/>
      <c r="K466" s="1551"/>
      <c r="L466" s="2151"/>
    </row>
    <row r="467" spans="2:12" s="1353" customFormat="1" ht="14.5">
      <c r="B467" s="1506"/>
      <c r="D467" s="2151"/>
      <c r="E467" s="2151"/>
      <c r="F467" s="1551"/>
      <c r="G467" s="1551"/>
      <c r="H467" s="1551"/>
      <c r="I467" s="1551"/>
      <c r="J467" s="1551"/>
      <c r="K467" s="1551"/>
      <c r="L467" s="2151"/>
    </row>
    <row r="468" spans="2:12" s="1353" customFormat="1" ht="14.5">
      <c r="B468" s="1506"/>
      <c r="D468" s="2151"/>
      <c r="E468" s="2151"/>
      <c r="F468" s="1551"/>
      <c r="G468" s="1551"/>
      <c r="H468" s="1551"/>
      <c r="I468" s="1551"/>
      <c r="J468" s="1551"/>
      <c r="K468" s="1551"/>
      <c r="L468" s="2151"/>
    </row>
    <row r="469" spans="2:12" s="1353" customFormat="1" ht="14.5">
      <c r="B469" s="1506"/>
      <c r="D469" s="2151"/>
      <c r="E469" s="2151"/>
      <c r="F469" s="1551"/>
      <c r="G469" s="1551"/>
      <c r="H469" s="1551"/>
      <c r="I469" s="1551"/>
      <c r="J469" s="1551"/>
      <c r="K469" s="1551"/>
      <c r="L469" s="2151"/>
    </row>
    <row r="470" spans="2:12" s="1353" customFormat="1" ht="14.5">
      <c r="B470" s="1506"/>
      <c r="D470" s="2151"/>
      <c r="E470" s="2151"/>
      <c r="F470" s="1551"/>
      <c r="G470" s="1551"/>
      <c r="H470" s="1551"/>
      <c r="I470" s="1551"/>
      <c r="J470" s="1551"/>
      <c r="K470" s="1551"/>
      <c r="L470" s="2151"/>
    </row>
    <row r="471" spans="2:12" s="1353" customFormat="1" ht="14.5">
      <c r="B471" s="1506"/>
      <c r="D471" s="2151"/>
      <c r="E471" s="2151"/>
      <c r="F471" s="1551"/>
      <c r="G471" s="1551"/>
      <c r="H471" s="1551"/>
      <c r="I471" s="1551"/>
      <c r="J471" s="1551"/>
      <c r="K471" s="1551"/>
      <c r="L471" s="2151"/>
    </row>
    <row r="472" spans="2:12" s="1353" customFormat="1" ht="14.5">
      <c r="B472" s="1506"/>
      <c r="D472" s="2151"/>
      <c r="E472" s="2151"/>
      <c r="F472" s="1551"/>
      <c r="G472" s="1551"/>
      <c r="H472" s="1551"/>
      <c r="I472" s="1551"/>
      <c r="J472" s="1551"/>
      <c r="K472" s="1551"/>
      <c r="L472" s="2151"/>
    </row>
    <row r="473" spans="2:12" s="1353" customFormat="1" ht="14.5">
      <c r="B473" s="1506"/>
      <c r="D473" s="2151"/>
      <c r="E473" s="2151"/>
      <c r="F473" s="1551"/>
      <c r="G473" s="1551"/>
      <c r="H473" s="1551"/>
      <c r="I473" s="1551"/>
      <c r="J473" s="1551"/>
      <c r="K473" s="1551"/>
      <c r="L473" s="2151"/>
    </row>
    <row r="474" spans="2:12" s="1353" customFormat="1" ht="14.5">
      <c r="B474" s="1506"/>
      <c r="D474" s="2151"/>
      <c r="E474" s="2151"/>
      <c r="F474" s="1551"/>
      <c r="G474" s="1551"/>
      <c r="H474" s="1551"/>
      <c r="I474" s="1551"/>
      <c r="J474" s="1551"/>
      <c r="K474" s="1551"/>
      <c r="L474" s="2151"/>
    </row>
    <row r="475" spans="2:12" s="1353" customFormat="1" ht="14.5">
      <c r="B475" s="1506"/>
      <c r="D475" s="2151"/>
      <c r="E475" s="2151"/>
      <c r="F475" s="1551"/>
      <c r="G475" s="1551"/>
      <c r="H475" s="1551"/>
      <c r="I475" s="1551"/>
      <c r="J475" s="1551"/>
      <c r="K475" s="1551"/>
      <c r="L475" s="2151"/>
    </row>
    <row r="476" spans="2:12" s="1353" customFormat="1" ht="14.5">
      <c r="B476" s="1506"/>
      <c r="D476" s="2151"/>
      <c r="E476" s="2151"/>
      <c r="F476" s="1551"/>
      <c r="G476" s="1551"/>
      <c r="H476" s="1551"/>
      <c r="I476" s="1551"/>
      <c r="J476" s="1551"/>
      <c r="K476" s="1551"/>
      <c r="L476" s="2151"/>
    </row>
    <row r="477" spans="2:12" s="1353" customFormat="1" ht="14.5">
      <c r="B477" s="1506"/>
      <c r="D477" s="2151"/>
      <c r="E477" s="2151"/>
      <c r="F477" s="1551"/>
      <c r="G477" s="1551"/>
      <c r="H477" s="1551"/>
      <c r="I477" s="1551"/>
      <c r="J477" s="1551"/>
      <c r="K477" s="1551"/>
      <c r="L477" s="2151"/>
    </row>
    <row r="478" spans="2:12" s="1353" customFormat="1" ht="14.5">
      <c r="B478" s="1506"/>
      <c r="D478" s="2151"/>
      <c r="E478" s="2151"/>
      <c r="F478" s="1551"/>
      <c r="G478" s="1551"/>
      <c r="H478" s="1551"/>
      <c r="I478" s="1551"/>
      <c r="J478" s="1551"/>
      <c r="K478" s="1551"/>
      <c r="L478" s="2151"/>
    </row>
    <row r="479" spans="2:12" s="1353" customFormat="1" ht="14.5">
      <c r="B479" s="1506"/>
      <c r="D479" s="2151"/>
      <c r="E479" s="2151"/>
      <c r="F479" s="1551"/>
      <c r="G479" s="1551"/>
      <c r="H479" s="1551"/>
      <c r="I479" s="1551"/>
      <c r="J479" s="1551"/>
      <c r="K479" s="1551"/>
      <c r="L479" s="2151"/>
    </row>
    <row r="480" spans="2:12" s="1353" customFormat="1" ht="14.5">
      <c r="B480" s="1506"/>
      <c r="D480" s="2151"/>
      <c r="E480" s="2151"/>
      <c r="F480" s="1551"/>
      <c r="G480" s="1551"/>
      <c r="H480" s="1551"/>
      <c r="I480" s="1551"/>
      <c r="J480" s="1551"/>
      <c r="K480" s="1551"/>
      <c r="L480" s="2151"/>
    </row>
    <row r="481" spans="2:12" s="1353" customFormat="1" ht="14.5">
      <c r="B481" s="1506"/>
      <c r="D481" s="2151"/>
      <c r="E481" s="2151"/>
      <c r="F481" s="1551"/>
      <c r="G481" s="1551"/>
      <c r="H481" s="1551"/>
      <c r="I481" s="1551"/>
      <c r="J481" s="1551"/>
      <c r="K481" s="1551"/>
      <c r="L481" s="2151"/>
    </row>
    <row r="482" spans="2:12" s="1353" customFormat="1" ht="14.5">
      <c r="B482" s="1506"/>
      <c r="D482" s="2151"/>
      <c r="E482" s="2151"/>
      <c r="F482" s="1551"/>
      <c r="G482" s="1551"/>
      <c r="H482" s="1551"/>
      <c r="I482" s="1551"/>
      <c r="J482" s="1551"/>
      <c r="K482" s="1551"/>
      <c r="L482" s="2151"/>
    </row>
    <row r="483" spans="2:12" s="1353" customFormat="1" ht="14.5">
      <c r="B483" s="1506"/>
      <c r="D483" s="2151"/>
      <c r="E483" s="2151"/>
      <c r="F483" s="1551"/>
      <c r="G483" s="1551"/>
      <c r="H483" s="1551"/>
      <c r="I483" s="1551"/>
      <c r="J483" s="1551"/>
      <c r="K483" s="1551"/>
      <c r="L483" s="2151"/>
    </row>
    <row r="484" spans="2:12" s="1353" customFormat="1" ht="14.5">
      <c r="B484" s="1506"/>
      <c r="D484" s="2151"/>
      <c r="E484" s="2151"/>
      <c r="F484" s="1551"/>
      <c r="G484" s="1551"/>
      <c r="H484" s="1551"/>
      <c r="I484" s="1551"/>
      <c r="J484" s="1551"/>
      <c r="K484" s="1551"/>
      <c r="L484" s="2151"/>
    </row>
    <row r="485" spans="2:12" s="1353" customFormat="1" ht="14.5">
      <c r="B485" s="1506"/>
      <c r="D485" s="2151"/>
      <c r="E485" s="2151"/>
      <c r="F485" s="1551"/>
      <c r="G485" s="1551"/>
      <c r="H485" s="1551"/>
      <c r="I485" s="1551"/>
      <c r="J485" s="1551"/>
      <c r="K485" s="1551"/>
      <c r="L485" s="2151"/>
    </row>
    <row r="486" spans="2:12" s="1353" customFormat="1" ht="14.5">
      <c r="B486" s="1506"/>
      <c r="D486" s="2151"/>
      <c r="E486" s="2151"/>
      <c r="F486" s="1551"/>
      <c r="G486" s="1551"/>
      <c r="H486" s="1551"/>
      <c r="I486" s="1551"/>
      <c r="J486" s="1551"/>
      <c r="K486" s="1551"/>
      <c r="L486" s="2151"/>
    </row>
    <row r="487" spans="2:12" s="1353" customFormat="1" ht="14.5">
      <c r="B487" s="1506"/>
      <c r="D487" s="2151"/>
      <c r="E487" s="2151"/>
      <c r="F487" s="1551"/>
      <c r="G487" s="1551"/>
      <c r="H487" s="1551"/>
      <c r="I487" s="1551"/>
      <c r="J487" s="1551"/>
      <c r="K487" s="1551"/>
      <c r="L487" s="2151"/>
    </row>
    <row r="488" spans="2:12" s="1353" customFormat="1" ht="14.5">
      <c r="B488" s="1506"/>
      <c r="D488" s="2151"/>
      <c r="E488" s="2151"/>
      <c r="F488" s="1551"/>
      <c r="G488" s="1551"/>
      <c r="H488" s="1551"/>
      <c r="I488" s="1551"/>
      <c r="J488" s="1551"/>
      <c r="K488" s="1551"/>
      <c r="L488" s="2151"/>
    </row>
    <row r="489" spans="2:12" s="1353" customFormat="1" ht="14.5">
      <c r="B489" s="1506"/>
      <c r="D489" s="2151"/>
      <c r="E489" s="2151"/>
      <c r="F489" s="1551"/>
      <c r="G489" s="1551"/>
      <c r="H489" s="1551"/>
      <c r="I489" s="1551"/>
      <c r="J489" s="1551"/>
      <c r="K489" s="1551"/>
      <c r="L489" s="2151"/>
    </row>
    <row r="490" spans="2:12" s="1353" customFormat="1" ht="14.5">
      <c r="B490" s="1506"/>
      <c r="D490" s="2151"/>
      <c r="E490" s="2151"/>
      <c r="F490" s="1551"/>
      <c r="G490" s="1551"/>
      <c r="H490" s="1551"/>
      <c r="I490" s="1551"/>
      <c r="J490" s="1551"/>
      <c r="K490" s="1551"/>
      <c r="L490" s="2151"/>
    </row>
    <row r="491" spans="2:12" s="1353" customFormat="1" ht="14.5">
      <c r="B491" s="1506"/>
      <c r="D491" s="2151"/>
      <c r="E491" s="2151"/>
      <c r="F491" s="1551"/>
      <c r="G491" s="1551"/>
      <c r="H491" s="1551"/>
      <c r="I491" s="1551"/>
      <c r="J491" s="1551"/>
      <c r="K491" s="1551"/>
      <c r="L491" s="2151"/>
    </row>
    <row r="492" spans="2:12" s="1353" customFormat="1" ht="14.5">
      <c r="B492" s="1506"/>
      <c r="D492" s="2151"/>
      <c r="E492" s="2151"/>
      <c r="F492" s="1551"/>
      <c r="G492" s="1551"/>
      <c r="H492" s="1551"/>
      <c r="I492" s="1551"/>
      <c r="J492" s="1551"/>
      <c r="K492" s="1551"/>
      <c r="L492" s="2151"/>
    </row>
    <row r="493" spans="2:12" s="1353" customFormat="1" ht="14.5">
      <c r="B493" s="1506"/>
      <c r="D493" s="2151"/>
      <c r="E493" s="2151"/>
      <c r="F493" s="1551"/>
      <c r="G493" s="1551"/>
      <c r="H493" s="1551"/>
      <c r="I493" s="1551"/>
      <c r="J493" s="1551"/>
      <c r="K493" s="1551"/>
      <c r="L493" s="2151"/>
    </row>
    <row r="494" spans="2:12" s="1353" customFormat="1" ht="14.5">
      <c r="B494" s="1506"/>
      <c r="D494" s="2151"/>
      <c r="E494" s="2151"/>
      <c r="F494" s="1551"/>
      <c r="G494" s="1551"/>
      <c r="H494" s="1551"/>
      <c r="I494" s="1551"/>
      <c r="J494" s="1551"/>
      <c r="K494" s="1551"/>
      <c r="L494" s="2151"/>
    </row>
    <row r="495" spans="2:12" s="1353" customFormat="1" ht="14.5">
      <c r="B495" s="1506"/>
      <c r="D495" s="2151"/>
      <c r="E495" s="2151"/>
      <c r="F495" s="1551"/>
      <c r="G495" s="1551"/>
      <c r="H495" s="1551"/>
      <c r="I495" s="1551"/>
      <c r="J495" s="1551"/>
      <c r="K495" s="1551"/>
      <c r="L495" s="2151"/>
    </row>
    <row r="496" spans="2:12" s="1353" customFormat="1" ht="14.5">
      <c r="B496" s="1506"/>
      <c r="D496" s="2151"/>
      <c r="E496" s="2151"/>
      <c r="F496" s="1551"/>
      <c r="G496" s="1551"/>
      <c r="H496" s="1551"/>
      <c r="I496" s="1551"/>
      <c r="J496" s="1551"/>
      <c r="K496" s="1551"/>
      <c r="L496" s="2151"/>
    </row>
    <row r="497" spans="2:12" s="1353" customFormat="1" ht="14.5">
      <c r="B497" s="1506"/>
      <c r="D497" s="2151"/>
      <c r="E497" s="2151"/>
      <c r="F497" s="1551"/>
      <c r="G497" s="1551"/>
      <c r="H497" s="1551"/>
      <c r="I497" s="1551"/>
      <c r="J497" s="1551"/>
      <c r="K497" s="1551"/>
      <c r="L497" s="2151"/>
    </row>
    <row r="498" spans="2:12" s="1353" customFormat="1" ht="14.5">
      <c r="B498" s="1506"/>
      <c r="D498" s="2151"/>
      <c r="E498" s="2151"/>
      <c r="F498" s="1551"/>
      <c r="G498" s="1551"/>
      <c r="H498" s="1551"/>
      <c r="I498" s="1551"/>
      <c r="J498" s="1551"/>
      <c r="K498" s="1551"/>
      <c r="L498" s="2151"/>
    </row>
    <row r="499" spans="2:12" s="1353" customFormat="1" ht="14.5">
      <c r="B499" s="1506"/>
      <c r="D499" s="2151"/>
      <c r="E499" s="2151"/>
      <c r="F499" s="1551"/>
      <c r="G499" s="1551"/>
      <c r="H499" s="1551"/>
      <c r="I499" s="1551"/>
      <c r="J499" s="1551"/>
      <c r="K499" s="1551"/>
      <c r="L499" s="2151"/>
    </row>
    <row r="500" spans="2:12" s="1353" customFormat="1" ht="14.5">
      <c r="B500" s="1506"/>
      <c r="D500" s="2151"/>
      <c r="E500" s="2151"/>
      <c r="F500" s="1551"/>
      <c r="G500" s="1551"/>
      <c r="H500" s="1551"/>
      <c r="I500" s="1551"/>
      <c r="J500" s="1551"/>
      <c r="K500" s="1551"/>
      <c r="L500" s="2151"/>
    </row>
    <row r="501" spans="2:12" s="1353" customFormat="1" ht="14.5">
      <c r="B501" s="1506"/>
      <c r="D501" s="2151"/>
      <c r="E501" s="2151"/>
      <c r="F501" s="1551"/>
      <c r="G501" s="1551"/>
      <c r="H501" s="1551"/>
      <c r="I501" s="1551"/>
      <c r="J501" s="1551"/>
      <c r="K501" s="1551"/>
      <c r="L501" s="2151"/>
    </row>
    <row r="502" spans="2:12" s="1353" customFormat="1" ht="14.5">
      <c r="B502" s="1506"/>
      <c r="D502" s="2151"/>
      <c r="E502" s="2151"/>
      <c r="F502" s="1551"/>
      <c r="G502" s="1551"/>
      <c r="H502" s="1551"/>
      <c r="I502" s="1551"/>
      <c r="J502" s="1551"/>
      <c r="K502" s="1551"/>
      <c r="L502" s="2151"/>
    </row>
    <row r="503" spans="2:12" s="1353" customFormat="1" ht="14.5">
      <c r="B503" s="1506"/>
      <c r="D503" s="2151"/>
      <c r="E503" s="2151"/>
      <c r="F503" s="1551"/>
      <c r="G503" s="1551"/>
      <c r="H503" s="1551"/>
      <c r="I503" s="1551"/>
      <c r="J503" s="1551"/>
      <c r="K503" s="1551"/>
      <c r="L503" s="2151"/>
    </row>
    <row r="504" spans="2:12" s="1353" customFormat="1" ht="14.5">
      <c r="B504" s="1506"/>
      <c r="D504" s="2151"/>
      <c r="E504" s="2151"/>
      <c r="F504" s="1551"/>
      <c r="G504" s="1551"/>
      <c r="H504" s="1551"/>
      <c r="I504" s="1551"/>
      <c r="J504" s="1551"/>
      <c r="K504" s="1551"/>
      <c r="L504" s="2151"/>
    </row>
    <row r="505" spans="2:12" s="1353" customFormat="1" ht="14.5">
      <c r="B505" s="1506"/>
      <c r="D505" s="2151"/>
      <c r="E505" s="2151"/>
      <c r="F505" s="1551"/>
      <c r="G505" s="1551"/>
      <c r="H505" s="1551"/>
      <c r="I505" s="1551"/>
      <c r="J505" s="1551"/>
      <c r="K505" s="1551"/>
      <c r="L505" s="2151"/>
    </row>
    <row r="506" spans="2:12" s="1353" customFormat="1" ht="14.5">
      <c r="B506" s="1506"/>
      <c r="D506" s="2151"/>
      <c r="E506" s="2151"/>
      <c r="F506" s="1551"/>
      <c r="G506" s="1551"/>
      <c r="H506" s="1551"/>
      <c r="I506" s="1551"/>
      <c r="J506" s="1551"/>
      <c r="K506" s="1551"/>
      <c r="L506" s="2151"/>
    </row>
    <row r="507" spans="2:12" s="1353" customFormat="1" ht="14.5">
      <c r="B507" s="1506"/>
      <c r="D507" s="2151"/>
      <c r="E507" s="2151"/>
      <c r="F507" s="1551"/>
      <c r="G507" s="1551"/>
      <c r="H507" s="1551"/>
      <c r="I507" s="1551"/>
      <c r="J507" s="1551"/>
      <c r="K507" s="1551"/>
      <c r="L507" s="2151"/>
    </row>
    <row r="508" spans="2:12" s="1353" customFormat="1" ht="14.5">
      <c r="B508" s="1506"/>
      <c r="D508" s="2151"/>
      <c r="E508" s="2151"/>
      <c r="F508" s="1551"/>
      <c r="G508" s="1551"/>
      <c r="H508" s="1551"/>
      <c r="I508" s="1551"/>
      <c r="J508" s="1551"/>
      <c r="K508" s="1551"/>
      <c r="L508" s="2151"/>
    </row>
    <row r="509" spans="2:12" s="1353" customFormat="1" ht="14.5">
      <c r="B509" s="1506"/>
      <c r="D509" s="2151"/>
      <c r="E509" s="2151"/>
      <c r="F509" s="1551"/>
      <c r="G509" s="1551"/>
      <c r="H509" s="1551"/>
      <c r="I509" s="1551"/>
      <c r="J509" s="1551"/>
      <c r="K509" s="1551"/>
      <c r="L509" s="2151"/>
    </row>
    <row r="510" spans="2:12" s="1353" customFormat="1" ht="14.5">
      <c r="B510" s="1506"/>
      <c r="D510" s="2151"/>
      <c r="E510" s="2151"/>
      <c r="F510" s="1551"/>
      <c r="G510" s="1551"/>
      <c r="H510" s="1551"/>
      <c r="I510" s="1551"/>
      <c r="J510" s="1551"/>
      <c r="K510" s="1551"/>
      <c r="L510" s="2151"/>
    </row>
    <row r="511" spans="2:12" s="1353" customFormat="1" ht="14.5">
      <c r="B511" s="1506"/>
      <c r="D511" s="2151"/>
      <c r="E511" s="2151"/>
      <c r="F511" s="1551"/>
      <c r="G511" s="1551"/>
      <c r="H511" s="1551"/>
      <c r="I511" s="1551"/>
      <c r="J511" s="1551"/>
      <c r="K511" s="1551"/>
      <c r="L511" s="2151"/>
    </row>
    <row r="512" spans="2:12"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row r="537" spans="2:12" s="1353" customFormat="1" ht="14.5">
      <c r="B537" s="1506"/>
      <c r="D537" s="2151"/>
      <c r="E537" s="2151"/>
      <c r="F537" s="1551"/>
      <c r="G537" s="1551"/>
      <c r="H537" s="1551"/>
      <c r="I537" s="1551"/>
      <c r="J537" s="1551"/>
      <c r="K537" s="1551"/>
      <c r="L537" s="2151"/>
    </row>
    <row r="538" spans="2:12" s="1353" customFormat="1" ht="14.5">
      <c r="B538" s="1506"/>
      <c r="D538" s="2151"/>
      <c r="E538" s="2151"/>
      <c r="F538" s="1551"/>
      <c r="G538" s="1551"/>
      <c r="H538" s="1551"/>
      <c r="I538" s="1551"/>
      <c r="J538" s="1551"/>
      <c r="K538" s="1551"/>
      <c r="L538" s="2151"/>
    </row>
    <row r="539" spans="2:12" s="1353" customFormat="1" ht="14.5">
      <c r="B539" s="1506"/>
      <c r="D539" s="2151"/>
      <c r="E539" s="2151"/>
      <c r="F539" s="1551"/>
      <c r="G539" s="1551"/>
      <c r="H539" s="1551"/>
      <c r="I539" s="1551"/>
      <c r="J539" s="1551"/>
      <c r="K539" s="1551"/>
      <c r="L539" s="2151"/>
    </row>
    <row r="540" spans="2:12" s="1353" customFormat="1" ht="14.5">
      <c r="B540" s="1506"/>
      <c r="D540" s="2151"/>
      <c r="E540" s="2151"/>
      <c r="F540" s="1551"/>
      <c r="G540" s="1551"/>
      <c r="H540" s="1551"/>
      <c r="I540" s="1551"/>
      <c r="J540" s="1551"/>
      <c r="K540" s="1551"/>
      <c r="L540" s="2151"/>
    </row>
    <row r="541" spans="2:12" s="1353" customFormat="1" ht="14.5">
      <c r="B541" s="1506"/>
      <c r="D541" s="2151"/>
      <c r="E541" s="2151"/>
      <c r="F541" s="1551"/>
      <c r="G541" s="1551"/>
      <c r="H541" s="1551"/>
      <c r="I541" s="1551"/>
      <c r="J541" s="1551"/>
      <c r="K541" s="1551"/>
      <c r="L541" s="2151"/>
    </row>
    <row r="542" spans="2:12" s="1353" customFormat="1" ht="14.5">
      <c r="B542" s="1506"/>
      <c r="D542" s="2151"/>
      <c r="E542" s="2151"/>
      <c r="F542" s="1551"/>
      <c r="G542" s="1551"/>
      <c r="H542" s="1551"/>
      <c r="I542" s="1551"/>
      <c r="J542" s="1551"/>
      <c r="K542" s="1551"/>
      <c r="L542" s="2151"/>
    </row>
    <row r="543" spans="2:12" s="1353" customFormat="1" ht="14.5">
      <c r="B543" s="1506"/>
      <c r="D543" s="2151"/>
      <c r="E543" s="2151"/>
      <c r="F543" s="1551"/>
      <c r="G543" s="1551"/>
      <c r="H543" s="1551"/>
      <c r="I543" s="1551"/>
      <c r="J543" s="1551"/>
      <c r="K543" s="1551"/>
      <c r="L543" s="2151"/>
    </row>
    <row r="544" spans="2:12" s="1353" customFormat="1" ht="14.5">
      <c r="B544" s="1506"/>
      <c r="D544" s="2151"/>
      <c r="E544" s="2151"/>
      <c r="F544" s="1551"/>
      <c r="G544" s="1551"/>
      <c r="H544" s="1551"/>
      <c r="I544" s="1551"/>
      <c r="J544" s="1551"/>
      <c r="K544" s="1551"/>
      <c r="L544" s="2151"/>
    </row>
    <row r="545" spans="2:12" s="1353" customFormat="1" ht="14.5">
      <c r="B545" s="1506"/>
      <c r="D545" s="2151"/>
      <c r="E545" s="2151"/>
      <c r="F545" s="1551"/>
      <c r="G545" s="1551"/>
      <c r="H545" s="1551"/>
      <c r="I545" s="1551"/>
      <c r="J545" s="1551"/>
      <c r="K545" s="1551"/>
      <c r="L545" s="2151"/>
    </row>
    <row r="546" spans="2:12" s="1353" customFormat="1" ht="14.5">
      <c r="B546" s="1506"/>
      <c r="D546" s="2151"/>
      <c r="E546" s="2151"/>
      <c r="F546" s="1551"/>
      <c r="G546" s="1551"/>
      <c r="H546" s="1551"/>
      <c r="I546" s="1551"/>
      <c r="J546" s="1551"/>
      <c r="K546" s="1551"/>
      <c r="L546" s="2151"/>
    </row>
    <row r="547" spans="2:12" s="1353" customFormat="1" ht="14.5">
      <c r="B547" s="1506"/>
      <c r="D547" s="2151"/>
      <c r="E547" s="2151"/>
      <c r="F547" s="1551"/>
      <c r="G547" s="1551"/>
      <c r="H547" s="1551"/>
      <c r="I547" s="1551"/>
      <c r="J547" s="1551"/>
      <c r="K547" s="1551"/>
      <c r="L547" s="2151"/>
    </row>
    <row r="548" spans="2:12" s="1353" customFormat="1" ht="14.5">
      <c r="B548" s="1506"/>
      <c r="D548" s="2151"/>
      <c r="E548" s="2151"/>
      <c r="F548" s="1551"/>
      <c r="G548" s="1551"/>
      <c r="H548" s="1551"/>
      <c r="I548" s="1551"/>
      <c r="J548" s="1551"/>
      <c r="K548" s="1551"/>
      <c r="L548" s="2151"/>
    </row>
    <row r="549" spans="2:12" s="1353" customFormat="1" ht="14.5">
      <c r="B549" s="1506"/>
      <c r="D549" s="2151"/>
      <c r="E549" s="2151"/>
      <c r="F549" s="1551"/>
      <c r="G549" s="1551"/>
      <c r="H549" s="1551"/>
      <c r="I549" s="1551"/>
      <c r="J549" s="1551"/>
      <c r="K549" s="1551"/>
      <c r="L549" s="2151"/>
    </row>
    <row r="550" spans="2:12" s="1353" customFormat="1" ht="14.5">
      <c r="B550" s="1506"/>
      <c r="D550" s="2151"/>
      <c r="E550" s="2151"/>
      <c r="F550" s="1551"/>
      <c r="G550" s="1551"/>
      <c r="H550" s="1551"/>
      <c r="I550" s="1551"/>
      <c r="J550" s="1551"/>
      <c r="K550" s="1551"/>
      <c r="L550" s="2151"/>
    </row>
    <row r="551" spans="2:12" s="1353" customFormat="1" ht="14.5">
      <c r="B551" s="1506"/>
      <c r="D551" s="2151"/>
      <c r="E551" s="2151"/>
      <c r="F551" s="1551"/>
      <c r="G551" s="1551"/>
      <c r="H551" s="1551"/>
      <c r="I551" s="1551"/>
      <c r="J551" s="1551"/>
      <c r="K551" s="1551"/>
      <c r="L551" s="2151"/>
    </row>
    <row r="552" spans="2:12" s="1353" customFormat="1" ht="14.5">
      <c r="B552" s="1506"/>
      <c r="D552" s="2151"/>
      <c r="E552" s="2151"/>
      <c r="F552" s="1551"/>
      <c r="G552" s="1551"/>
      <c r="H552" s="1551"/>
      <c r="I552" s="1551"/>
      <c r="J552" s="1551"/>
      <c r="K552" s="1551"/>
      <c r="L552" s="2151"/>
    </row>
    <row r="553" spans="2:12" s="1353" customFormat="1" ht="14.5">
      <c r="B553" s="1506"/>
      <c r="D553" s="2151"/>
      <c r="E553" s="2151"/>
      <c r="F553" s="1551"/>
      <c r="G553" s="1551"/>
      <c r="H553" s="1551"/>
      <c r="I553" s="1551"/>
      <c r="J553" s="1551"/>
      <c r="K553" s="1551"/>
      <c r="L553" s="2151"/>
    </row>
    <row r="554" spans="2:12" s="1353" customFormat="1" ht="14.5">
      <c r="B554" s="1506"/>
      <c r="D554" s="2151"/>
      <c r="E554" s="2151"/>
      <c r="F554" s="1551"/>
      <c r="G554" s="1551"/>
      <c r="H554" s="1551"/>
      <c r="I554" s="1551"/>
      <c r="J554" s="1551"/>
      <c r="K554" s="1551"/>
      <c r="L554" s="2151"/>
    </row>
    <row r="555" spans="2:12" s="1353" customFormat="1" ht="14.5">
      <c r="B555" s="1506"/>
      <c r="D555" s="2151"/>
      <c r="E555" s="2151"/>
      <c r="F555" s="1551"/>
      <c r="G555" s="1551"/>
      <c r="H555" s="1551"/>
      <c r="I555" s="1551"/>
      <c r="J555" s="1551"/>
      <c r="K555" s="1551"/>
      <c r="L555" s="2151"/>
    </row>
    <row r="556" spans="2:12" s="1353" customFormat="1" ht="14.5">
      <c r="B556" s="1506"/>
      <c r="D556" s="2151"/>
      <c r="E556" s="2151"/>
      <c r="F556" s="1551"/>
      <c r="G556" s="1551"/>
      <c r="H556" s="1551"/>
      <c r="I556" s="1551"/>
      <c r="J556" s="1551"/>
      <c r="K556" s="1551"/>
      <c r="L556" s="2151"/>
    </row>
    <row r="557" spans="2:12" s="1353" customFormat="1" ht="14.5">
      <c r="B557" s="1506"/>
      <c r="D557" s="2151"/>
      <c r="E557" s="2151"/>
      <c r="F557" s="1551"/>
      <c r="G557" s="1551"/>
      <c r="H557" s="1551"/>
      <c r="I557" s="1551"/>
      <c r="J557" s="1551"/>
      <c r="K557" s="1551"/>
      <c r="L557" s="2151"/>
    </row>
    <row r="558" spans="2:12" s="1353" customFormat="1" ht="14.5">
      <c r="B558" s="1506"/>
      <c r="D558" s="2151"/>
      <c r="E558" s="2151"/>
      <c r="F558" s="1551"/>
      <c r="G558" s="1551"/>
      <c r="H558" s="1551"/>
      <c r="I558" s="1551"/>
      <c r="J558" s="1551"/>
      <c r="K558" s="1551"/>
      <c r="L558" s="2151"/>
    </row>
    <row r="559" spans="2:12" s="1353" customFormat="1" ht="14.5">
      <c r="B559" s="1506"/>
      <c r="D559" s="2151"/>
      <c r="E559" s="2151"/>
      <c r="F559" s="1551"/>
      <c r="G559" s="1551"/>
      <c r="H559" s="1551"/>
      <c r="I559" s="1551"/>
      <c r="J559" s="1551"/>
      <c r="K559" s="1551"/>
      <c r="L559" s="2151"/>
    </row>
    <row r="560" spans="2:12" s="1353" customFormat="1" ht="14.5">
      <c r="B560" s="1506"/>
      <c r="D560" s="2151"/>
      <c r="E560" s="2151"/>
      <c r="F560" s="1551"/>
      <c r="G560" s="1551"/>
      <c r="H560" s="1551"/>
      <c r="I560" s="1551"/>
      <c r="J560" s="1551"/>
      <c r="K560" s="1551"/>
      <c r="L560" s="2151"/>
    </row>
    <row r="561" spans="2:12" s="1353" customFormat="1" ht="14.5">
      <c r="B561" s="1506"/>
      <c r="D561" s="2151"/>
      <c r="E561" s="2151"/>
      <c r="F561" s="1551"/>
      <c r="G561" s="1551"/>
      <c r="H561" s="1551"/>
      <c r="I561" s="1551"/>
      <c r="J561" s="1551"/>
      <c r="K561" s="1551"/>
      <c r="L561" s="2151"/>
    </row>
    <row r="562" spans="2:12" s="1353" customFormat="1" ht="14.5">
      <c r="B562" s="1506"/>
      <c r="D562" s="2151"/>
      <c r="E562" s="2151"/>
      <c r="F562" s="1551"/>
      <c r="G562" s="1551"/>
      <c r="H562" s="1551"/>
      <c r="I562" s="1551"/>
      <c r="J562" s="1551"/>
      <c r="K562" s="1551"/>
      <c r="L562" s="2151"/>
    </row>
    <row r="563" spans="2:12" s="1353" customFormat="1" ht="14.5">
      <c r="B563" s="1506"/>
      <c r="D563" s="2151"/>
      <c r="E563" s="2151"/>
      <c r="F563" s="1551"/>
      <c r="G563" s="1551"/>
      <c r="H563" s="1551"/>
      <c r="I563" s="1551"/>
      <c r="J563" s="1551"/>
      <c r="K563" s="1551"/>
      <c r="L563" s="2151"/>
    </row>
    <row r="564" spans="2:12" s="1353" customFormat="1" ht="14.5">
      <c r="B564" s="1506"/>
      <c r="D564" s="2151"/>
      <c r="E564" s="2151"/>
      <c r="F564" s="1551"/>
      <c r="G564" s="1551"/>
      <c r="H564" s="1551"/>
      <c r="I564" s="1551"/>
      <c r="J564" s="1551"/>
      <c r="K564" s="1551"/>
      <c r="L564" s="2151"/>
    </row>
    <row r="565" spans="2:12" s="1353" customFormat="1" ht="14.5">
      <c r="B565" s="1506"/>
      <c r="D565" s="2151"/>
      <c r="E565" s="2151"/>
      <c r="F565" s="1551"/>
      <c r="G565" s="1551"/>
      <c r="H565" s="1551"/>
      <c r="I565" s="1551"/>
      <c r="J565" s="1551"/>
      <c r="K565" s="1551"/>
      <c r="L565" s="2151"/>
    </row>
    <row r="566" spans="2:12" s="1353" customFormat="1" ht="14.5">
      <c r="B566" s="1506"/>
      <c r="D566" s="2151"/>
      <c r="E566" s="2151"/>
      <c r="F566" s="1551"/>
      <c r="G566" s="1551"/>
      <c r="H566" s="1551"/>
      <c r="I566" s="1551"/>
      <c r="J566" s="1551"/>
      <c r="K566" s="1551"/>
      <c r="L566" s="2151"/>
    </row>
    <row r="567" spans="2:12" s="1353" customFormat="1" ht="14.5">
      <c r="B567" s="1506"/>
      <c r="D567" s="2151"/>
      <c r="E567" s="2151"/>
      <c r="F567" s="1551"/>
      <c r="G567" s="1551"/>
      <c r="H567" s="1551"/>
      <c r="I567" s="1551"/>
      <c r="J567" s="1551"/>
      <c r="K567" s="1551"/>
      <c r="L567" s="2151"/>
    </row>
    <row r="568" spans="2:12" s="1353" customFormat="1" ht="14.5">
      <c r="B568" s="1506"/>
      <c r="D568" s="2151"/>
      <c r="E568" s="2151"/>
      <c r="F568" s="1551"/>
      <c r="G568" s="1551"/>
      <c r="H568" s="1551"/>
      <c r="I568" s="1551"/>
      <c r="J568" s="1551"/>
      <c r="K568" s="1551"/>
      <c r="L568" s="2151"/>
    </row>
    <row r="569" spans="2:12" s="1353" customFormat="1" ht="14.5">
      <c r="B569" s="1506"/>
      <c r="D569" s="2151"/>
      <c r="E569" s="2151"/>
      <c r="F569" s="1551"/>
      <c r="G569" s="1551"/>
      <c r="H569" s="1551"/>
      <c r="I569" s="1551"/>
      <c r="J569" s="1551"/>
      <c r="K569" s="1551"/>
      <c r="L569" s="2151"/>
    </row>
    <row r="570" spans="2:12" s="1353" customFormat="1" ht="14.5">
      <c r="B570" s="1506"/>
      <c r="D570" s="2151"/>
      <c r="E570" s="2151"/>
      <c r="F570" s="1551"/>
      <c r="G570" s="1551"/>
      <c r="H570" s="1551"/>
      <c r="I570" s="1551"/>
      <c r="J570" s="1551"/>
      <c r="K570" s="1551"/>
      <c r="L570" s="2151"/>
    </row>
    <row r="571" spans="2:12" s="1353" customFormat="1" ht="14.5">
      <c r="B571" s="1506"/>
      <c r="D571" s="2151"/>
      <c r="E571" s="2151"/>
      <c r="F571" s="1551"/>
      <c r="G571" s="1551"/>
      <c r="H571" s="1551"/>
      <c r="I571" s="1551"/>
      <c r="J571" s="1551"/>
      <c r="K571" s="1551"/>
      <c r="L571" s="2151"/>
    </row>
    <row r="572" spans="2:12" s="1353" customFormat="1" ht="14.5">
      <c r="B572" s="1506"/>
      <c r="D572" s="2151"/>
      <c r="E572" s="2151"/>
      <c r="F572" s="1551"/>
      <c r="G572" s="1551"/>
      <c r="H572" s="1551"/>
      <c r="I572" s="1551"/>
      <c r="J572" s="1551"/>
      <c r="K572" s="1551"/>
      <c r="L572" s="2151"/>
    </row>
    <row r="573" spans="2:12" s="1353" customFormat="1" ht="14.5">
      <c r="B573" s="1506"/>
      <c r="D573" s="2151"/>
      <c r="E573" s="2151"/>
      <c r="F573" s="1551"/>
      <c r="G573" s="1551"/>
      <c r="H573" s="1551"/>
      <c r="I573" s="1551"/>
      <c r="J573" s="1551"/>
      <c r="K573" s="1551"/>
      <c r="L573" s="2151"/>
    </row>
    <row r="574" spans="2:12" s="1353" customFormat="1" ht="14.5">
      <c r="B574" s="1506"/>
      <c r="D574" s="2151"/>
      <c r="E574" s="2151"/>
      <c r="F574" s="1551"/>
      <c r="G574" s="1551"/>
      <c r="H574" s="1551"/>
      <c r="I574" s="1551"/>
      <c r="J574" s="1551"/>
      <c r="K574" s="1551"/>
      <c r="L574" s="2151"/>
    </row>
    <row r="575" spans="2:12" s="1353" customFormat="1" ht="14.5">
      <c r="B575" s="1506"/>
      <c r="D575" s="2151"/>
      <c r="E575" s="2151"/>
      <c r="F575" s="1551"/>
      <c r="G575" s="1551"/>
      <c r="H575" s="1551"/>
      <c r="I575" s="1551"/>
      <c r="J575" s="1551"/>
      <c r="K575" s="1551"/>
      <c r="L575" s="2151"/>
    </row>
    <row r="576" spans="2:12" s="1353" customFormat="1" ht="14.5">
      <c r="B576" s="1506"/>
      <c r="D576" s="2151"/>
      <c r="E576" s="2151"/>
      <c r="F576" s="1551"/>
      <c r="G576" s="1551"/>
      <c r="H576" s="1551"/>
      <c r="I576" s="1551"/>
      <c r="J576" s="1551"/>
      <c r="K576" s="1551"/>
      <c r="L576" s="2151"/>
    </row>
    <row r="577" spans="2:12" s="1353" customFormat="1" ht="14.5">
      <c r="B577" s="1506"/>
      <c r="D577" s="2151"/>
      <c r="E577" s="2151"/>
      <c r="F577" s="1551"/>
      <c r="G577" s="1551"/>
      <c r="H577" s="1551"/>
      <c r="I577" s="1551"/>
      <c r="J577" s="1551"/>
      <c r="K577" s="1551"/>
      <c r="L577" s="2151"/>
    </row>
    <row r="578" spans="2:12" s="1353" customFormat="1" ht="14.5">
      <c r="B578" s="1506"/>
      <c r="D578" s="2151"/>
      <c r="E578" s="2151"/>
      <c r="F578" s="1551"/>
      <c r="G578" s="1551"/>
      <c r="H578" s="1551"/>
      <c r="I578" s="1551"/>
      <c r="J578" s="1551"/>
      <c r="K578" s="1551"/>
      <c r="L578" s="2151"/>
    </row>
    <row r="579" spans="2:12" s="1353" customFormat="1" ht="14.5">
      <c r="B579" s="1506"/>
      <c r="D579" s="2151"/>
      <c r="E579" s="2151"/>
      <c r="F579" s="1551"/>
      <c r="G579" s="1551"/>
      <c r="H579" s="1551"/>
      <c r="I579" s="1551"/>
      <c r="J579" s="1551"/>
      <c r="K579" s="1551"/>
      <c r="L579" s="2151"/>
    </row>
    <row r="580" spans="2:12" s="1353" customFormat="1" ht="14.5">
      <c r="B580" s="1506"/>
      <c r="D580" s="2151"/>
      <c r="E580" s="2151"/>
      <c r="F580" s="1551"/>
      <c r="G580" s="1551"/>
      <c r="H580" s="1551"/>
      <c r="I580" s="1551"/>
      <c r="J580" s="1551"/>
      <c r="K580" s="1551"/>
      <c r="L580" s="2151"/>
    </row>
    <row r="581" spans="2:12" s="1353" customFormat="1" ht="14.5">
      <c r="B581" s="1506"/>
      <c r="D581" s="2151"/>
      <c r="E581" s="2151"/>
      <c r="F581" s="1551"/>
      <c r="G581" s="1551"/>
      <c r="H581" s="1551"/>
      <c r="I581" s="1551"/>
      <c r="J581" s="1551"/>
      <c r="K581" s="1551"/>
      <c r="L581" s="2151"/>
    </row>
    <row r="582" spans="2:12" s="1353" customFormat="1" ht="14.5">
      <c r="B582" s="1506"/>
      <c r="D582" s="2151"/>
      <c r="E582" s="2151"/>
      <c r="F582" s="1551"/>
      <c r="G582" s="1551"/>
      <c r="H582" s="1551"/>
      <c r="I582" s="1551"/>
      <c r="J582" s="1551"/>
      <c r="K582" s="1551"/>
      <c r="L582" s="2151"/>
    </row>
    <row r="583" spans="2:12" s="1353" customFormat="1" ht="14.5">
      <c r="B583" s="1506"/>
      <c r="D583" s="2151"/>
      <c r="E583" s="2151"/>
      <c r="F583" s="1551"/>
      <c r="G583" s="1551"/>
      <c r="H583" s="1551"/>
      <c r="I583" s="1551"/>
      <c r="J583" s="1551"/>
      <c r="K583" s="1551"/>
      <c r="L583" s="2151"/>
    </row>
    <row r="584" spans="2:12" s="1353" customFormat="1" ht="14.5">
      <c r="B584" s="1506"/>
      <c r="D584" s="2151"/>
      <c r="E584" s="2151"/>
      <c r="F584" s="1551"/>
      <c r="G584" s="1551"/>
      <c r="H584" s="1551"/>
      <c r="I584" s="1551"/>
      <c r="J584" s="1551"/>
      <c r="K584" s="1551"/>
      <c r="L584" s="2151"/>
    </row>
    <row r="585" spans="2:12" s="1353" customFormat="1" ht="14.5">
      <c r="B585" s="1506"/>
      <c r="D585" s="2151"/>
      <c r="E585" s="2151"/>
      <c r="F585" s="1551"/>
      <c r="G585" s="1551"/>
      <c r="H585" s="1551"/>
      <c r="I585" s="1551"/>
      <c r="J585" s="1551"/>
      <c r="K585" s="1551"/>
      <c r="L585" s="2151"/>
    </row>
    <row r="586" spans="2:12" s="1353" customFormat="1" ht="14.5">
      <c r="B586" s="1506"/>
      <c r="D586" s="2151"/>
      <c r="E586" s="2151"/>
      <c r="F586" s="1551"/>
      <c r="G586" s="1551"/>
      <c r="H586" s="1551"/>
      <c r="I586" s="1551"/>
      <c r="J586" s="1551"/>
      <c r="K586" s="1551"/>
      <c r="L586" s="2151"/>
    </row>
    <row r="587" spans="2:12" s="1353" customFormat="1" ht="14.5">
      <c r="B587" s="1506"/>
      <c r="D587" s="2151"/>
      <c r="E587" s="2151"/>
      <c r="F587" s="1551"/>
      <c r="G587" s="1551"/>
      <c r="H587" s="1551"/>
      <c r="I587" s="1551"/>
      <c r="J587" s="1551"/>
      <c r="K587" s="1551"/>
      <c r="L587" s="2151"/>
    </row>
    <row r="588" spans="2:12" s="1353" customFormat="1" ht="14.5">
      <c r="B588" s="1506"/>
      <c r="D588" s="2151"/>
      <c r="E588" s="2151"/>
      <c r="F588" s="1551"/>
      <c r="G588" s="1551"/>
      <c r="H588" s="1551"/>
      <c r="I588" s="1551"/>
      <c r="J588" s="1551"/>
      <c r="K588" s="1551"/>
      <c r="L588" s="2151"/>
    </row>
    <row r="589" spans="2:12" s="1353" customFormat="1" ht="14.5">
      <c r="B589" s="1506"/>
      <c r="D589" s="2151"/>
      <c r="E589" s="2151"/>
      <c r="F589" s="1551"/>
      <c r="G589" s="1551"/>
      <c r="H589" s="1551"/>
      <c r="I589" s="1551"/>
      <c r="J589" s="1551"/>
      <c r="K589" s="1551"/>
      <c r="L589" s="2151"/>
    </row>
    <row r="590" spans="2:12" s="1353" customFormat="1" ht="14.5">
      <c r="B590" s="1506"/>
      <c r="D590" s="2151"/>
      <c r="E590" s="2151"/>
      <c r="F590" s="1551"/>
      <c r="G590" s="1551"/>
      <c r="H590" s="1551"/>
      <c r="I590" s="1551"/>
      <c r="J590" s="1551"/>
      <c r="K590" s="1551"/>
      <c r="L590" s="2151"/>
    </row>
    <row r="591" spans="2:12" s="1353" customFormat="1" ht="14.5">
      <c r="B591" s="1506"/>
      <c r="D591" s="2151"/>
      <c r="E591" s="2151"/>
      <c r="F591" s="1551"/>
      <c r="G591" s="1551"/>
      <c r="H591" s="1551"/>
      <c r="I591" s="1551"/>
      <c r="J591" s="1551"/>
      <c r="K591" s="1551"/>
      <c r="L591" s="2151"/>
    </row>
    <row r="592" spans="2:12" s="1353" customFormat="1" ht="14.5">
      <c r="B592" s="1506"/>
      <c r="D592" s="2151"/>
      <c r="E592" s="2151"/>
      <c r="F592" s="1551"/>
      <c r="G592" s="1551"/>
      <c r="H592" s="1551"/>
      <c r="I592" s="1551"/>
      <c r="J592" s="1551"/>
      <c r="K592" s="1551"/>
      <c r="L592" s="2151"/>
    </row>
    <row r="593" spans="2:12" s="1353" customFormat="1" ht="14.5">
      <c r="B593" s="1506"/>
      <c r="D593" s="2151"/>
      <c r="E593" s="2151"/>
      <c r="F593" s="1551"/>
      <c r="G593" s="1551"/>
      <c r="H593" s="1551"/>
      <c r="I593" s="1551"/>
      <c r="J593" s="1551"/>
      <c r="K593" s="1551"/>
      <c r="L593" s="2151"/>
    </row>
    <row r="594" spans="2:12" s="1353" customFormat="1" ht="14.5">
      <c r="B594" s="1506"/>
      <c r="D594" s="2151"/>
      <c r="E594" s="2151"/>
      <c r="F594" s="1551"/>
      <c r="G594" s="1551"/>
      <c r="H594" s="1551"/>
      <c r="I594" s="1551"/>
      <c r="J594" s="1551"/>
      <c r="K594" s="1551"/>
      <c r="L594" s="2151"/>
    </row>
    <row r="595" spans="2:12" s="1353" customFormat="1" ht="14.5">
      <c r="B595" s="1506"/>
      <c r="D595" s="2151"/>
      <c r="E595" s="2151"/>
      <c r="F595" s="1551"/>
      <c r="G595" s="1551"/>
      <c r="H595" s="1551"/>
      <c r="I595" s="1551"/>
      <c r="J595" s="1551"/>
      <c r="K595" s="1551"/>
      <c r="L595" s="2151"/>
    </row>
    <row r="596" spans="2:12" s="1353" customFormat="1" ht="14.5">
      <c r="B596" s="1506"/>
      <c r="D596" s="2151"/>
      <c r="E596" s="2151"/>
      <c r="F596" s="1551"/>
      <c r="G596" s="1551"/>
      <c r="H596" s="1551"/>
      <c r="I596" s="1551"/>
      <c r="J596" s="1551"/>
      <c r="K596" s="1551"/>
      <c r="L596" s="2151"/>
    </row>
    <row r="597" spans="2:12" s="1353" customFormat="1" ht="14.5">
      <c r="B597" s="1506"/>
      <c r="D597" s="2151"/>
      <c r="E597" s="2151"/>
      <c r="F597" s="1551"/>
      <c r="G597" s="1551"/>
      <c r="H597" s="1551"/>
      <c r="I597" s="1551"/>
      <c r="J597" s="1551"/>
      <c r="K597" s="1551"/>
      <c r="L597" s="2151"/>
    </row>
    <row r="598" spans="2:12" s="1353" customFormat="1" ht="14.5">
      <c r="B598" s="1506"/>
      <c r="D598" s="2151"/>
      <c r="E598" s="2151"/>
      <c r="F598" s="1551"/>
      <c r="G598" s="1551"/>
      <c r="H598" s="1551"/>
      <c r="I598" s="1551"/>
      <c r="J598" s="1551"/>
      <c r="K598" s="1551"/>
      <c r="L598" s="2151"/>
    </row>
    <row r="599" spans="2:12" s="1353" customFormat="1" ht="14.5">
      <c r="B599" s="1506"/>
      <c r="D599" s="2151"/>
      <c r="E599" s="2151"/>
      <c r="F599" s="1551"/>
      <c r="G599" s="1551"/>
      <c r="H599" s="1551"/>
      <c r="I599" s="1551"/>
      <c r="J599" s="1551"/>
      <c r="K599" s="1551"/>
      <c r="L599" s="2151"/>
    </row>
    <row r="600" spans="2:12" s="1353" customFormat="1" ht="14.5">
      <c r="B600" s="1506"/>
      <c r="D600" s="2151"/>
      <c r="E600" s="2151"/>
      <c r="F600" s="1551"/>
      <c r="G600" s="1551"/>
      <c r="H600" s="1551"/>
      <c r="I600" s="1551"/>
      <c r="J600" s="1551"/>
      <c r="K600" s="1551"/>
      <c r="L600" s="2151"/>
    </row>
    <row r="601" spans="2:12" s="1353" customFormat="1" ht="14.5">
      <c r="B601" s="1506"/>
      <c r="D601" s="2151"/>
      <c r="E601" s="2151"/>
      <c r="F601" s="1551"/>
      <c r="G601" s="1551"/>
      <c r="H601" s="1551"/>
      <c r="I601" s="1551"/>
      <c r="J601" s="1551"/>
      <c r="K601" s="1551"/>
      <c r="L601" s="2151"/>
    </row>
    <row r="602" spans="2:12" s="1353" customFormat="1" ht="14.5">
      <c r="B602" s="1506"/>
      <c r="D602" s="2151"/>
      <c r="E602" s="2151"/>
      <c r="F602" s="1551"/>
      <c r="G602" s="1551"/>
      <c r="H602" s="1551"/>
      <c r="I602" s="1551"/>
      <c r="J602" s="1551"/>
      <c r="K602" s="1551"/>
      <c r="L602" s="2151"/>
    </row>
    <row r="603" spans="2:12" s="1353" customFormat="1" ht="14.5">
      <c r="B603" s="1506"/>
      <c r="D603" s="2151"/>
      <c r="E603" s="2151"/>
      <c r="F603" s="1551"/>
      <c r="G603" s="1551"/>
      <c r="H603" s="1551"/>
      <c r="I603" s="1551"/>
      <c r="J603" s="1551"/>
      <c r="K603" s="1551"/>
      <c r="L603" s="2151"/>
    </row>
    <row r="604" spans="2:12" s="1353" customFormat="1" ht="14.5">
      <c r="B604" s="1506"/>
      <c r="D604" s="2151"/>
      <c r="E604" s="2151"/>
      <c r="F604" s="1551"/>
      <c r="G604" s="1551"/>
      <c r="H604" s="1551"/>
      <c r="I604" s="1551"/>
      <c r="J604" s="1551"/>
      <c r="K604" s="1551"/>
      <c r="L604" s="2151"/>
    </row>
    <row r="605" spans="2:12" s="1353" customFormat="1" ht="14.5">
      <c r="B605" s="1506"/>
      <c r="D605" s="2151"/>
      <c r="E605" s="2151"/>
      <c r="F605" s="1551"/>
      <c r="G605" s="1551"/>
      <c r="H605" s="1551"/>
      <c r="I605" s="1551"/>
      <c r="J605" s="1551"/>
      <c r="K605" s="1551"/>
      <c r="L605" s="2151"/>
    </row>
    <row r="606" spans="2:12" s="1353" customFormat="1" ht="14.5">
      <c r="B606" s="1506"/>
      <c r="D606" s="2151"/>
      <c r="E606" s="2151"/>
      <c r="F606" s="1551"/>
      <c r="G606" s="1551"/>
      <c r="H606" s="1551"/>
      <c r="I606" s="1551"/>
      <c r="J606" s="1551"/>
      <c r="K606" s="1551"/>
      <c r="L606" s="2151"/>
    </row>
    <row r="607" spans="2:12" s="1353" customFormat="1" ht="14.5">
      <c r="B607" s="1506"/>
      <c r="D607" s="2151"/>
      <c r="E607" s="2151"/>
      <c r="F607" s="1551"/>
      <c r="G607" s="1551"/>
      <c r="H607" s="1551"/>
      <c r="I607" s="1551"/>
      <c r="J607" s="1551"/>
      <c r="K607" s="1551"/>
      <c r="L607" s="2151"/>
    </row>
    <row r="608" spans="2:12" s="1353" customFormat="1" ht="14.5">
      <c r="B608" s="1506"/>
      <c r="D608" s="2151"/>
      <c r="E608" s="2151"/>
      <c r="F608" s="1551"/>
      <c r="G608" s="1551"/>
      <c r="H608" s="1551"/>
      <c r="I608" s="1551"/>
      <c r="J608" s="1551"/>
      <c r="K608" s="1551"/>
      <c r="L608" s="2151"/>
    </row>
    <row r="609" spans="2:12" s="1353" customFormat="1" ht="14.5">
      <c r="B609" s="1506"/>
      <c r="D609" s="2151"/>
      <c r="E609" s="2151"/>
      <c r="F609" s="1551"/>
      <c r="G609" s="1551"/>
      <c r="H609" s="1551"/>
      <c r="I609" s="1551"/>
      <c r="J609" s="1551"/>
      <c r="K609" s="1551"/>
      <c r="L609" s="2151"/>
    </row>
    <row r="610" spans="2:12" s="1353" customFormat="1" ht="14.5">
      <c r="B610" s="1506"/>
      <c r="D610" s="2151"/>
      <c r="E610" s="2151"/>
      <c r="F610" s="1551"/>
      <c r="G610" s="1551"/>
      <c r="H610" s="1551"/>
      <c r="I610" s="1551"/>
      <c r="J610" s="1551"/>
      <c r="K610" s="1551"/>
      <c r="L610" s="2151"/>
    </row>
    <row r="611" spans="2:12" s="1353" customFormat="1" ht="14.5">
      <c r="B611" s="1506"/>
      <c r="D611" s="2151"/>
      <c r="E611" s="2151"/>
      <c r="F611" s="1551"/>
      <c r="G611" s="1551"/>
      <c r="H611" s="1551"/>
      <c r="I611" s="1551"/>
      <c r="J611" s="1551"/>
      <c r="K611" s="1551"/>
      <c r="L611" s="2151"/>
    </row>
    <row r="612" spans="2:12" s="1353" customFormat="1" ht="14.5">
      <c r="B612" s="1506"/>
      <c r="D612" s="2151"/>
      <c r="E612" s="2151"/>
      <c r="F612" s="1551"/>
      <c r="G612" s="1551"/>
      <c r="H612" s="1551"/>
      <c r="I612" s="1551"/>
      <c r="J612" s="1551"/>
      <c r="K612" s="1551"/>
      <c r="L612" s="2151"/>
    </row>
    <row r="613" spans="2:12" s="1353" customFormat="1" ht="14.5">
      <c r="B613" s="1506"/>
      <c r="D613" s="2151"/>
      <c r="E613" s="2151"/>
      <c r="F613" s="1551"/>
      <c r="G613" s="1551"/>
      <c r="H613" s="1551"/>
      <c r="I613" s="1551"/>
      <c r="J613" s="1551"/>
      <c r="K613" s="1551"/>
      <c r="L613" s="2151"/>
    </row>
    <row r="614" spans="2:12" s="1353" customFormat="1" ht="14.5">
      <c r="B614" s="1506"/>
      <c r="D614" s="2151"/>
      <c r="E614" s="2151"/>
      <c r="F614" s="1551"/>
      <c r="G614" s="1551"/>
      <c r="H614" s="1551"/>
      <c r="I614" s="1551"/>
      <c r="J614" s="1551"/>
      <c r="K614" s="1551"/>
      <c r="L614" s="2151"/>
    </row>
    <row r="615" spans="2:12" s="1353" customFormat="1" ht="14.5">
      <c r="B615" s="1506"/>
      <c r="D615" s="2151"/>
      <c r="E615" s="2151"/>
      <c r="F615" s="1551"/>
      <c r="G615" s="1551"/>
      <c r="H615" s="1551"/>
      <c r="I615" s="1551"/>
      <c r="J615" s="1551"/>
      <c r="K615" s="1551"/>
      <c r="L615" s="2151"/>
    </row>
    <row r="616" spans="2:12" s="1353" customFormat="1" ht="14.5">
      <c r="B616" s="1506"/>
      <c r="D616" s="2151"/>
      <c r="E616" s="2151"/>
      <c r="F616" s="1551"/>
      <c r="G616" s="1551"/>
      <c r="H616" s="1551"/>
      <c r="I616" s="1551"/>
      <c r="J616" s="1551"/>
      <c r="K616" s="1551"/>
      <c r="L616" s="2151"/>
    </row>
    <row r="617" spans="2:12" s="1353" customFormat="1" ht="14.5">
      <c r="B617" s="1506"/>
      <c r="D617" s="2151"/>
      <c r="E617" s="2151"/>
      <c r="F617" s="1551"/>
      <c r="G617" s="1551"/>
      <c r="H617" s="1551"/>
      <c r="I617" s="1551"/>
      <c r="J617" s="1551"/>
      <c r="K617" s="1551"/>
      <c r="L617" s="2151"/>
    </row>
    <row r="618" spans="2:12" s="1353" customFormat="1" ht="14.5">
      <c r="B618" s="1506"/>
      <c r="D618" s="2151"/>
      <c r="E618" s="2151"/>
      <c r="F618" s="1551"/>
      <c r="G618" s="1551"/>
      <c r="H618" s="1551"/>
      <c r="I618" s="1551"/>
      <c r="J618" s="1551"/>
      <c r="K618" s="1551"/>
      <c r="L618" s="2151"/>
    </row>
    <row r="619" spans="2:12" s="1353" customFormat="1" ht="14.5">
      <c r="B619" s="1506"/>
      <c r="D619" s="2151"/>
      <c r="E619" s="2151"/>
      <c r="F619" s="1551"/>
      <c r="G619" s="1551"/>
      <c r="H619" s="1551"/>
      <c r="I619" s="1551"/>
      <c r="J619" s="1551"/>
      <c r="K619" s="1551"/>
      <c r="L619" s="2151"/>
    </row>
    <row r="620" spans="2:12" s="1353" customFormat="1" ht="14.5">
      <c r="B620" s="1506"/>
      <c r="D620" s="2151"/>
      <c r="E620" s="2151"/>
      <c r="F620" s="1551"/>
      <c r="G620" s="1551"/>
      <c r="H620" s="1551"/>
      <c r="I620" s="1551"/>
      <c r="J620" s="1551"/>
      <c r="K620" s="1551"/>
      <c r="L620" s="2151"/>
    </row>
    <row r="621" spans="2:12" s="1353" customFormat="1" ht="14.5">
      <c r="B621" s="1506"/>
      <c r="D621" s="2151"/>
      <c r="E621" s="2151"/>
      <c r="F621" s="1551"/>
      <c r="G621" s="1551"/>
      <c r="H621" s="1551"/>
      <c r="I621" s="1551"/>
      <c r="J621" s="1551"/>
      <c r="K621" s="1551"/>
      <c r="L621" s="2151"/>
    </row>
    <row r="622" spans="2:12" s="1353" customFormat="1" ht="14.5">
      <c r="B622" s="1506"/>
      <c r="D622" s="2151"/>
      <c r="E622" s="2151"/>
      <c r="F622" s="1551"/>
      <c r="G622" s="1551"/>
      <c r="H622" s="1551"/>
      <c r="I622" s="1551"/>
      <c r="J622" s="1551"/>
      <c r="K622" s="1551"/>
      <c r="L622" s="2151"/>
    </row>
    <row r="623" spans="2:12" s="1353" customFormat="1" ht="14.5">
      <c r="B623" s="1506"/>
      <c r="D623" s="2151"/>
      <c r="E623" s="2151"/>
      <c r="F623" s="1551"/>
      <c r="G623" s="1551"/>
      <c r="H623" s="1551"/>
      <c r="I623" s="1551"/>
      <c r="J623" s="1551"/>
      <c r="K623" s="1551"/>
      <c r="L623" s="2151"/>
    </row>
    <row r="624" spans="2:12" s="1353" customFormat="1" ht="14.5">
      <c r="B624" s="1506"/>
      <c r="D624" s="2151"/>
      <c r="E624" s="2151"/>
      <c r="F624" s="1551"/>
      <c r="G624" s="1551"/>
      <c r="H624" s="1551"/>
      <c r="I624" s="1551"/>
      <c r="J624" s="1551"/>
      <c r="K624" s="1551"/>
      <c r="L624" s="2151"/>
    </row>
    <row r="625" spans="2:12" s="1353" customFormat="1" ht="14.5">
      <c r="B625" s="1506"/>
      <c r="D625" s="2151"/>
      <c r="E625" s="2151"/>
      <c r="F625" s="1551"/>
      <c r="G625" s="1551"/>
      <c r="H625" s="1551"/>
      <c r="I625" s="1551"/>
      <c r="J625" s="1551"/>
      <c r="K625" s="1551"/>
      <c r="L625" s="2151"/>
    </row>
    <row r="626" spans="2:12" s="1353" customFormat="1" ht="14.5">
      <c r="B626" s="1506"/>
      <c r="D626" s="2151"/>
      <c r="E626" s="2151"/>
      <c r="F626" s="1551"/>
      <c r="G626" s="1551"/>
      <c r="H626" s="1551"/>
      <c r="I626" s="1551"/>
      <c r="J626" s="1551"/>
      <c r="K626" s="1551"/>
      <c r="L626" s="2151"/>
    </row>
    <row r="627" spans="2:12" s="1353" customFormat="1" ht="14.5">
      <c r="B627" s="1506"/>
      <c r="D627" s="2151"/>
      <c r="E627" s="2151"/>
      <c r="F627" s="1551"/>
      <c r="G627" s="1551"/>
      <c r="H627" s="1551"/>
      <c r="I627" s="1551"/>
      <c r="J627" s="1551"/>
      <c r="K627" s="1551"/>
      <c r="L627" s="2151"/>
    </row>
    <row r="628" spans="2:12" s="1353" customFormat="1" ht="14.5">
      <c r="B628" s="1506"/>
      <c r="D628" s="2151"/>
      <c r="E628" s="2151"/>
      <c r="F628" s="1551"/>
      <c r="G628" s="1551"/>
      <c r="H628" s="1551"/>
      <c r="I628" s="1551"/>
      <c r="J628" s="1551"/>
      <c r="K628" s="1551"/>
      <c r="L628" s="2151"/>
    </row>
    <row r="629" spans="2:12" s="1353" customFormat="1" ht="14.5">
      <c r="B629" s="1506"/>
      <c r="D629" s="2151"/>
      <c r="E629" s="2151"/>
      <c r="F629" s="1551"/>
      <c r="G629" s="1551"/>
      <c r="H629" s="1551"/>
      <c r="I629" s="1551"/>
      <c r="J629" s="1551"/>
      <c r="K629" s="1551"/>
      <c r="L629" s="2151"/>
    </row>
    <row r="630" spans="2:12" s="1353" customFormat="1" ht="14.5">
      <c r="B630" s="1506"/>
      <c r="D630" s="2151"/>
      <c r="E630" s="2151"/>
      <c r="F630" s="1551"/>
      <c r="G630" s="1551"/>
      <c r="H630" s="1551"/>
      <c r="I630" s="1551"/>
      <c r="J630" s="1551"/>
      <c r="K630" s="1551"/>
      <c r="L630" s="2151"/>
    </row>
    <row r="631" spans="2:12" s="1353" customFormat="1" ht="14.5">
      <c r="B631" s="1506"/>
      <c r="D631" s="2151"/>
      <c r="E631" s="2151"/>
      <c r="F631" s="1551"/>
      <c r="G631" s="1551"/>
      <c r="H631" s="1551"/>
      <c r="I631" s="1551"/>
      <c r="J631" s="1551"/>
      <c r="K631" s="1551"/>
      <c r="L631" s="2151"/>
    </row>
    <row r="632" spans="2:12" s="1353" customFormat="1" ht="14.5">
      <c r="B632" s="1506"/>
      <c r="D632" s="2151"/>
      <c r="E632" s="2151"/>
      <c r="F632" s="1551"/>
      <c r="G632" s="1551"/>
      <c r="H632" s="1551"/>
      <c r="I632" s="1551"/>
      <c r="J632" s="1551"/>
      <c r="K632" s="1551"/>
      <c r="L632" s="2151"/>
    </row>
    <row r="633" spans="2:12" s="1353" customFormat="1" ht="14.5">
      <c r="B633" s="1506"/>
      <c r="D633" s="2151"/>
      <c r="E633" s="2151"/>
      <c r="F633" s="1551"/>
      <c r="G633" s="1551"/>
      <c r="H633" s="1551"/>
      <c r="I633" s="1551"/>
      <c r="J633" s="1551"/>
      <c r="K633" s="1551"/>
      <c r="L633" s="2151"/>
    </row>
    <row r="634" spans="2:12" s="1353" customFormat="1" ht="14.5">
      <c r="B634" s="1506"/>
      <c r="D634" s="2151"/>
      <c r="E634" s="2151"/>
      <c r="F634" s="1551"/>
      <c r="G634" s="1551"/>
      <c r="H634" s="1551"/>
      <c r="I634" s="1551"/>
      <c r="J634" s="1551"/>
      <c r="K634" s="1551"/>
      <c r="L634" s="2151"/>
    </row>
    <row r="635" spans="2:12" s="1353" customFormat="1" ht="14.5">
      <c r="B635" s="1506"/>
      <c r="D635" s="2151"/>
      <c r="E635" s="2151"/>
      <c r="F635" s="1551"/>
      <c r="G635" s="1551"/>
      <c r="H635" s="1551"/>
      <c r="I635" s="1551"/>
      <c r="J635" s="1551"/>
      <c r="K635" s="1551"/>
      <c r="L635" s="2151"/>
    </row>
    <row r="636" spans="2:12" s="1353" customFormat="1" ht="14.5">
      <c r="B636" s="1506"/>
      <c r="D636" s="2151"/>
      <c r="E636" s="2151"/>
      <c r="F636" s="1551"/>
      <c r="G636" s="1551"/>
      <c r="H636" s="1551"/>
      <c r="I636" s="1551"/>
      <c r="J636" s="1551"/>
      <c r="K636" s="1551"/>
      <c r="L636" s="2151"/>
    </row>
    <row r="637" spans="2:12" s="1353" customFormat="1" ht="14.5">
      <c r="B637" s="1506"/>
      <c r="D637" s="2151"/>
      <c r="E637" s="2151"/>
      <c r="F637" s="1551"/>
      <c r="G637" s="1551"/>
      <c r="H637" s="1551"/>
      <c r="I637" s="1551"/>
      <c r="J637" s="1551"/>
      <c r="K637" s="1551"/>
      <c r="L637" s="2151"/>
    </row>
    <row r="638" spans="2:12" s="1353" customFormat="1" ht="14.5">
      <c r="B638" s="1506"/>
      <c r="D638" s="2151"/>
      <c r="E638" s="2151"/>
      <c r="F638" s="1551"/>
      <c r="G638" s="1551"/>
      <c r="H638" s="1551"/>
      <c r="I638" s="1551"/>
      <c r="J638" s="1551"/>
      <c r="K638" s="1551"/>
      <c r="L638" s="2151"/>
    </row>
    <row r="639" spans="2:12" s="1353" customFormat="1" ht="14.5">
      <c r="B639" s="1506"/>
      <c r="D639" s="2151"/>
      <c r="E639" s="2151"/>
      <c r="F639" s="1551"/>
      <c r="G639" s="1551"/>
      <c r="H639" s="1551"/>
      <c r="I639" s="1551"/>
      <c r="J639" s="1551"/>
      <c r="K639" s="1551"/>
      <c r="L639" s="2151"/>
    </row>
    <row r="640" spans="2:12" s="1353" customFormat="1" ht="14.5">
      <c r="B640" s="1506"/>
      <c r="D640" s="2151"/>
      <c r="E640" s="2151"/>
      <c r="F640" s="1551"/>
      <c r="G640" s="1551"/>
      <c r="H640" s="1551"/>
      <c r="I640" s="1551"/>
      <c r="J640" s="1551"/>
      <c r="K640" s="1551"/>
      <c r="L640" s="2151"/>
    </row>
    <row r="641" spans="2:12" s="1353" customFormat="1" ht="14.5">
      <c r="B641" s="1506"/>
      <c r="D641" s="2151"/>
      <c r="E641" s="2151"/>
      <c r="F641" s="1551"/>
      <c r="G641" s="1551"/>
      <c r="H641" s="1551"/>
      <c r="I641" s="1551"/>
      <c r="J641" s="1551"/>
      <c r="K641" s="1551"/>
      <c r="L641" s="2151"/>
    </row>
    <row r="642" spans="2:12" s="1353" customFormat="1" ht="14.5">
      <c r="B642" s="1506"/>
      <c r="D642" s="2151"/>
      <c r="E642" s="2151"/>
      <c r="F642" s="1551"/>
      <c r="G642" s="1551"/>
      <c r="H642" s="1551"/>
      <c r="I642" s="1551"/>
      <c r="J642" s="1551"/>
      <c r="K642" s="1551"/>
      <c r="L642" s="2151"/>
    </row>
    <row r="643" spans="2:12" s="1353" customFormat="1" ht="14.5">
      <c r="B643" s="1506"/>
      <c r="D643" s="2151"/>
      <c r="E643" s="2151"/>
      <c r="F643" s="1551"/>
      <c r="G643" s="1551"/>
      <c r="H643" s="1551"/>
      <c r="I643" s="1551"/>
      <c r="J643" s="1551"/>
      <c r="K643" s="1551"/>
      <c r="L643" s="2151"/>
    </row>
    <row r="644" spans="2:12" s="1353" customFormat="1" ht="14.5">
      <c r="B644" s="1506"/>
      <c r="D644" s="2151"/>
      <c r="E644" s="2151"/>
      <c r="F644" s="1551"/>
      <c r="G644" s="1551"/>
      <c r="H644" s="1551"/>
      <c r="I644" s="1551"/>
      <c r="J644" s="1551"/>
      <c r="K644" s="1551"/>
      <c r="L644" s="2151"/>
    </row>
    <row r="645" spans="2:12" s="1353" customFormat="1" ht="14.5">
      <c r="B645" s="1506"/>
      <c r="D645" s="2151"/>
      <c r="E645" s="2151"/>
      <c r="F645" s="1551"/>
      <c r="G645" s="1551"/>
      <c r="H645" s="1551"/>
      <c r="I645" s="1551"/>
      <c r="J645" s="1551"/>
      <c r="K645" s="1551"/>
      <c r="L645" s="2151"/>
    </row>
    <row r="646" spans="2:12" s="1353" customFormat="1" ht="14.5">
      <c r="B646" s="1506"/>
      <c r="D646" s="2151"/>
      <c r="E646" s="2151"/>
      <c r="F646" s="1551"/>
      <c r="G646" s="1551"/>
      <c r="H646" s="1551"/>
      <c r="I646" s="1551"/>
      <c r="J646" s="1551"/>
      <c r="K646" s="1551"/>
      <c r="L646" s="2151"/>
    </row>
    <row r="647" spans="2:12" s="1353" customFormat="1" ht="14.5">
      <c r="B647" s="1506"/>
      <c r="D647" s="2151"/>
      <c r="E647" s="2151"/>
      <c r="F647" s="1551"/>
      <c r="G647" s="1551"/>
      <c r="H647" s="1551"/>
      <c r="I647" s="1551"/>
      <c r="J647" s="1551"/>
      <c r="K647" s="1551"/>
      <c r="L647" s="2151"/>
    </row>
    <row r="648" spans="2:12" s="1353" customFormat="1" ht="14.5">
      <c r="B648" s="1506"/>
      <c r="D648" s="2151"/>
      <c r="E648" s="2151"/>
      <c r="F648" s="1551"/>
      <c r="G648" s="1551"/>
      <c r="H648" s="1551"/>
      <c r="I648" s="1551"/>
      <c r="J648" s="1551"/>
      <c r="K648" s="1551"/>
      <c r="L648" s="2151"/>
    </row>
    <row r="649" spans="2:12" s="1353" customFormat="1" ht="14.5">
      <c r="B649" s="1506"/>
      <c r="D649" s="2151"/>
      <c r="E649" s="2151"/>
      <c r="F649" s="1551"/>
      <c r="G649" s="1551"/>
      <c r="H649" s="1551"/>
      <c r="I649" s="1551"/>
      <c r="J649" s="1551"/>
      <c r="K649" s="1551"/>
      <c r="L649" s="2151"/>
    </row>
    <row r="650" spans="2:12" s="1353" customFormat="1" ht="14.5">
      <c r="B650" s="1506"/>
      <c r="D650" s="2151"/>
      <c r="E650" s="2151"/>
      <c r="F650" s="1551"/>
      <c r="G650" s="1551"/>
      <c r="H650" s="1551"/>
      <c r="I650" s="1551"/>
      <c r="J650" s="1551"/>
      <c r="K650" s="1551"/>
      <c r="L650" s="2151"/>
    </row>
    <row r="651" spans="2:12" s="1353" customFormat="1" ht="14.5">
      <c r="B651" s="1506"/>
      <c r="D651" s="2151"/>
      <c r="E651" s="2151"/>
      <c r="F651" s="1551"/>
      <c r="G651" s="1551"/>
      <c r="H651" s="1551"/>
      <c r="I651" s="1551"/>
      <c r="J651" s="1551"/>
      <c r="K651" s="1551"/>
      <c r="L651" s="2151"/>
    </row>
    <row r="652" spans="2:12" s="1353" customFormat="1" ht="14.5">
      <c r="B652" s="1506"/>
      <c r="D652" s="2151"/>
      <c r="E652" s="2151"/>
      <c r="F652" s="1551"/>
      <c r="G652" s="1551"/>
      <c r="H652" s="1551"/>
      <c r="I652" s="1551"/>
      <c r="J652" s="1551"/>
      <c r="K652" s="1551"/>
      <c r="L652" s="2151"/>
    </row>
    <row r="653" spans="2:12" s="1353" customFormat="1" ht="14.5">
      <c r="B653" s="1506"/>
      <c r="D653" s="2151"/>
      <c r="E653" s="2151"/>
      <c r="F653" s="1551"/>
      <c r="G653" s="1551"/>
      <c r="H653" s="1551"/>
      <c r="I653" s="1551"/>
      <c r="J653" s="1551"/>
      <c r="K653" s="1551"/>
      <c r="L653" s="2151"/>
    </row>
    <row r="654" spans="2:12" s="1353" customFormat="1" ht="14.5">
      <c r="B654" s="1506"/>
      <c r="D654" s="2151"/>
      <c r="E654" s="2151"/>
      <c r="F654" s="1551"/>
      <c r="G654" s="1551"/>
      <c r="H654" s="1551"/>
      <c r="I654" s="1551"/>
      <c r="J654" s="1551"/>
      <c r="K654" s="1551"/>
      <c r="L654" s="2151"/>
    </row>
    <row r="655" spans="2:12" s="1353" customFormat="1" ht="14.5">
      <c r="B655" s="1506"/>
      <c r="D655" s="2151"/>
      <c r="E655" s="2151"/>
      <c r="F655" s="1551"/>
      <c r="G655" s="1551"/>
      <c r="H655" s="1551"/>
      <c r="I655" s="1551"/>
      <c r="J655" s="1551"/>
      <c r="K655" s="1551"/>
      <c r="L655" s="2151"/>
    </row>
    <row r="656" spans="2:12" s="1353" customFormat="1" ht="14.5">
      <c r="B656" s="1506"/>
      <c r="D656" s="2151"/>
      <c r="E656" s="2151"/>
      <c r="F656" s="1551"/>
      <c r="G656" s="1551"/>
      <c r="H656" s="1551"/>
      <c r="I656" s="1551"/>
      <c r="J656" s="1551"/>
      <c r="K656" s="1551"/>
      <c r="L656" s="2151"/>
    </row>
    <row r="657" spans="2:12" s="1353" customFormat="1" ht="14.5">
      <c r="B657" s="1506"/>
      <c r="D657" s="2151"/>
      <c r="E657" s="2151"/>
      <c r="F657" s="1551"/>
      <c r="G657" s="1551"/>
      <c r="H657" s="1551"/>
      <c r="I657" s="1551"/>
      <c r="J657" s="1551"/>
      <c r="K657" s="1551"/>
      <c r="L657" s="2151"/>
    </row>
    <row r="658" spans="2:12" s="1353" customFormat="1" ht="14.5">
      <c r="B658" s="1506"/>
      <c r="D658" s="2151"/>
      <c r="E658" s="2151"/>
      <c r="F658" s="1551"/>
      <c r="G658" s="1551"/>
      <c r="H658" s="1551"/>
      <c r="I658" s="1551"/>
      <c r="J658" s="1551"/>
      <c r="K658" s="1551"/>
      <c r="L658" s="2151"/>
    </row>
    <row r="659" spans="2:12" s="1353" customFormat="1" ht="14.5">
      <c r="B659" s="1506"/>
      <c r="D659" s="2151"/>
      <c r="E659" s="2151"/>
      <c r="F659" s="1551"/>
      <c r="G659" s="1551"/>
      <c r="H659" s="1551"/>
      <c r="I659" s="1551"/>
      <c r="J659" s="1551"/>
      <c r="K659" s="1551"/>
      <c r="L659" s="2151"/>
    </row>
    <row r="660" spans="2:12" s="1353" customFormat="1" ht="14.5">
      <c r="B660" s="1506"/>
      <c r="D660" s="2151"/>
      <c r="E660" s="2151"/>
      <c r="F660" s="1551"/>
      <c r="G660" s="1551"/>
      <c r="H660" s="1551"/>
      <c r="I660" s="1551"/>
      <c r="J660" s="1551"/>
      <c r="K660" s="1551"/>
      <c r="L660" s="2151"/>
    </row>
    <row r="661" spans="2:12" s="1353" customFormat="1" ht="14.5">
      <c r="B661" s="1506"/>
      <c r="D661" s="2151"/>
      <c r="E661" s="2151"/>
      <c r="F661" s="1551"/>
      <c r="G661" s="1551"/>
      <c r="H661" s="1551"/>
      <c r="I661" s="1551"/>
      <c r="J661" s="1551"/>
      <c r="K661" s="1551"/>
      <c r="L661" s="2151"/>
    </row>
    <row r="662" spans="2:12" s="1353" customFormat="1" ht="14.5">
      <c r="B662" s="1506"/>
      <c r="D662" s="2151"/>
      <c r="E662" s="2151"/>
      <c r="F662" s="1551"/>
      <c r="G662" s="1551"/>
      <c r="H662" s="1551"/>
      <c r="I662" s="1551"/>
      <c r="J662" s="1551"/>
      <c r="K662" s="1551"/>
      <c r="L662" s="2151"/>
    </row>
    <row r="663" spans="2:12" s="1353" customFormat="1" ht="14.5">
      <c r="B663" s="1506"/>
      <c r="D663" s="2151"/>
      <c r="E663" s="2151"/>
      <c r="F663" s="1551"/>
      <c r="G663" s="1551"/>
      <c r="H663" s="1551"/>
      <c r="I663" s="1551"/>
      <c r="J663" s="1551"/>
      <c r="K663" s="1551"/>
      <c r="L663" s="2151"/>
    </row>
    <row r="664" spans="2:12" s="1353" customFormat="1" ht="14.5">
      <c r="B664" s="1506"/>
      <c r="D664" s="2151"/>
      <c r="E664" s="2151"/>
      <c r="F664" s="1551"/>
      <c r="G664" s="1551"/>
      <c r="H664" s="1551"/>
      <c r="I664" s="1551"/>
      <c r="J664" s="1551"/>
      <c r="K664" s="1551"/>
      <c r="L664" s="2151"/>
    </row>
    <row r="665" spans="2:12" s="1353" customFormat="1" ht="14.5">
      <c r="B665" s="1506"/>
      <c r="D665" s="2151"/>
      <c r="E665" s="2151"/>
      <c r="F665" s="1551"/>
      <c r="G665" s="1551"/>
      <c r="H665" s="1551"/>
      <c r="I665" s="1551"/>
      <c r="J665" s="1551"/>
      <c r="K665" s="1551"/>
      <c r="L665" s="2151"/>
    </row>
    <row r="666" spans="2:12" s="1353" customFormat="1" ht="14.5">
      <c r="B666" s="1506"/>
      <c r="D666" s="2151"/>
      <c r="E666" s="2151"/>
      <c r="F666" s="1551"/>
      <c r="G666" s="1551"/>
      <c r="H666" s="1551"/>
      <c r="I666" s="1551"/>
      <c r="J666" s="1551"/>
      <c r="K666" s="1551"/>
      <c r="L666" s="2151"/>
    </row>
    <row r="667" spans="2:12" s="1353" customFormat="1" ht="14.5">
      <c r="B667" s="1506"/>
      <c r="D667" s="2151"/>
      <c r="E667" s="2151"/>
      <c r="F667" s="1551"/>
      <c r="G667" s="1551"/>
      <c r="H667" s="1551"/>
      <c r="I667" s="1551"/>
      <c r="J667" s="1551"/>
      <c r="K667" s="1551"/>
      <c r="L667" s="2151"/>
    </row>
    <row r="668" spans="2:12" s="1353" customFormat="1" ht="14.5">
      <c r="B668" s="1506"/>
      <c r="D668" s="2151"/>
      <c r="E668" s="2151"/>
      <c r="F668" s="1551"/>
      <c r="G668" s="1551"/>
      <c r="H668" s="1551"/>
      <c r="I668" s="1551"/>
      <c r="J668" s="1551"/>
      <c r="K668" s="1551"/>
      <c r="L668" s="2151"/>
    </row>
    <row r="669" spans="2:12" s="1353" customFormat="1" ht="14.5">
      <c r="B669" s="1506"/>
      <c r="D669" s="2151"/>
      <c r="E669" s="2151"/>
      <c r="F669" s="1551"/>
      <c r="G669" s="1551"/>
      <c r="H669" s="1551"/>
      <c r="I669" s="1551"/>
      <c r="J669" s="1551"/>
      <c r="K669" s="1551"/>
      <c r="L669" s="2151"/>
    </row>
    <row r="670" spans="2:12" s="1353" customFormat="1" ht="14.5">
      <c r="B670" s="1506"/>
      <c r="D670" s="2151"/>
      <c r="E670" s="2151"/>
      <c r="F670" s="1551"/>
      <c r="G670" s="1551"/>
      <c r="H670" s="1551"/>
      <c r="I670" s="1551"/>
      <c r="J670" s="1551"/>
      <c r="K670" s="1551"/>
      <c r="L670" s="2151"/>
    </row>
    <row r="671" spans="2:12" s="1353" customFormat="1" ht="14.5">
      <c r="B671" s="1506"/>
      <c r="D671" s="2151"/>
      <c r="E671" s="2151"/>
      <c r="F671" s="1551"/>
      <c r="G671" s="1551"/>
      <c r="H671" s="1551"/>
      <c r="I671" s="1551"/>
      <c r="J671" s="1551"/>
      <c r="K671" s="1551"/>
      <c r="L671" s="2151"/>
    </row>
    <row r="672" spans="2:12" s="1353" customFormat="1" ht="14.5">
      <c r="B672" s="1506"/>
      <c r="D672" s="2151"/>
      <c r="E672" s="2151"/>
      <c r="F672" s="1551"/>
      <c r="G672" s="1551"/>
      <c r="H672" s="1551"/>
      <c r="I672" s="1551"/>
      <c r="J672" s="1551"/>
      <c r="K672" s="1551"/>
      <c r="L672" s="2151"/>
    </row>
    <row r="673" spans="2:12" s="1353" customFormat="1" ht="14.5">
      <c r="B673" s="1506"/>
      <c r="D673" s="2151"/>
      <c r="E673" s="2151"/>
      <c r="F673" s="1551"/>
      <c r="G673" s="1551"/>
      <c r="H673" s="1551"/>
      <c r="I673" s="1551"/>
      <c r="J673" s="1551"/>
      <c r="K673" s="1551"/>
      <c r="L673" s="2151"/>
    </row>
    <row r="674" spans="2:12" s="1353" customFormat="1" ht="14.5">
      <c r="B674" s="1506"/>
      <c r="D674" s="2151"/>
      <c r="E674" s="2151"/>
      <c r="F674" s="1551"/>
      <c r="G674" s="1551"/>
      <c r="H674" s="1551"/>
      <c r="I674" s="1551"/>
      <c r="J674" s="1551"/>
      <c r="K674" s="1551"/>
      <c r="L674" s="2151"/>
    </row>
    <row r="675" spans="2:12" s="1353" customFormat="1" ht="14.5">
      <c r="B675" s="1506"/>
      <c r="D675" s="2151"/>
      <c r="E675" s="2151"/>
      <c r="F675" s="1551"/>
      <c r="G675" s="1551"/>
      <c r="H675" s="1551"/>
      <c r="I675" s="1551"/>
      <c r="J675" s="1551"/>
      <c r="K675" s="1551"/>
      <c r="L675" s="2151"/>
    </row>
    <row r="676" spans="2:12" s="1353" customFormat="1" ht="14.5">
      <c r="B676" s="1506"/>
      <c r="D676" s="2151"/>
      <c r="E676" s="2151"/>
      <c r="F676" s="1551"/>
      <c r="G676" s="1551"/>
      <c r="H676" s="1551"/>
      <c r="I676" s="1551"/>
      <c r="J676" s="1551"/>
      <c r="K676" s="1551"/>
      <c r="L676" s="2151"/>
    </row>
    <row r="677" spans="2:12" s="1353" customFormat="1" ht="14.5">
      <c r="B677" s="1506"/>
      <c r="D677" s="2151"/>
      <c r="E677" s="2151"/>
      <c r="F677" s="1551"/>
      <c r="G677" s="1551"/>
      <c r="H677" s="1551"/>
      <c r="I677" s="1551"/>
      <c r="J677" s="1551"/>
      <c r="K677" s="1551"/>
      <c r="L677" s="2151"/>
    </row>
    <row r="678" spans="2:12" s="1353" customFormat="1" ht="14.5">
      <c r="B678" s="1506"/>
      <c r="D678" s="2151"/>
      <c r="E678" s="2151"/>
      <c r="F678" s="1551"/>
      <c r="G678" s="1551"/>
      <c r="H678" s="1551"/>
      <c r="I678" s="1551"/>
      <c r="J678" s="1551"/>
      <c r="K678" s="1551"/>
      <c r="L678" s="2151"/>
    </row>
    <row r="679" spans="2:12" s="1353" customFormat="1" ht="14.5">
      <c r="B679" s="1506"/>
      <c r="D679" s="2151"/>
      <c r="E679" s="2151"/>
      <c r="F679" s="1551"/>
      <c r="G679" s="1551"/>
      <c r="H679" s="1551"/>
      <c r="I679" s="1551"/>
      <c r="J679" s="1551"/>
      <c r="K679" s="1551"/>
      <c r="L679" s="2151"/>
    </row>
    <row r="680" spans="2:12" s="1353" customFormat="1" ht="14.5">
      <c r="B680" s="1506"/>
      <c r="D680" s="2151"/>
      <c r="E680" s="2151"/>
      <c r="F680" s="1551"/>
      <c r="G680" s="1551"/>
      <c r="H680" s="1551"/>
      <c r="I680" s="1551"/>
      <c r="J680" s="1551"/>
      <c r="K680" s="1551"/>
      <c r="L680" s="2151"/>
    </row>
    <row r="681" spans="2:12" s="1353" customFormat="1" ht="14.5">
      <c r="B681" s="1506"/>
      <c r="D681" s="2151"/>
      <c r="E681" s="2151"/>
      <c r="F681" s="1551"/>
      <c r="G681" s="1551"/>
      <c r="H681" s="1551"/>
      <c r="I681" s="1551"/>
      <c r="J681" s="1551"/>
      <c r="K681" s="1551"/>
      <c r="L681" s="2151"/>
    </row>
    <row r="682" spans="2:12" s="1353" customFormat="1" ht="14.5">
      <c r="B682" s="1506"/>
      <c r="D682" s="2151"/>
      <c r="E682" s="2151"/>
      <c r="F682" s="1551"/>
      <c r="G682" s="1551"/>
      <c r="H682" s="1551"/>
      <c r="I682" s="1551"/>
      <c r="J682" s="1551"/>
      <c r="K682" s="1551"/>
      <c r="L682" s="2151"/>
    </row>
    <row r="683" spans="2:12" s="1353" customFormat="1" ht="14.5">
      <c r="B683" s="1506"/>
      <c r="D683" s="2151"/>
      <c r="E683" s="2151"/>
      <c r="F683" s="1551"/>
      <c r="G683" s="1551"/>
      <c r="H683" s="1551"/>
      <c r="I683" s="1551"/>
      <c r="J683" s="1551"/>
      <c r="K683" s="1551"/>
      <c r="L683" s="2151"/>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Normal="100" zoomScaleSheetLayoutView="100" workbookViewId="0">
      <selection activeCell="D15" sqref="D15"/>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970" t="str">
        <f>'Validation summary'!$B$2</f>
        <v>2023-24</v>
      </c>
      <c r="R1" s="300" t="str">
        <f>VLOOKUP($K$3,Validation!$B$5:$C$22,2,0)</f>
        <v>NES</v>
      </c>
      <c r="S1" s="300" t="str">
        <f>IF($R$1="NES","NES1",IF($R$1="SSC","SSC1",""))</f>
        <v>NES1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Northumbrian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56"/>
      <c r="S5" s="1356"/>
      <c r="T5" s="1356"/>
      <c r="U5" s="1357"/>
      <c r="V5" s="1356" t="s">
        <v>138</v>
      </c>
      <c r="W5" s="1356"/>
      <c r="X5" s="1356"/>
      <c r="Y5" s="1356"/>
      <c r="Z5" s="1356"/>
      <c r="AA5" s="1357"/>
      <c r="AB5" s="1356"/>
      <c r="AC5" s="1356"/>
      <c r="AD5" s="1356"/>
      <c r="AE5" s="1356"/>
      <c r="AF5" s="1357"/>
      <c r="AG5" s="1358"/>
      <c r="AH5" s="2155" t="s">
        <v>129</v>
      </c>
      <c r="AI5" s="2153" t="s">
        <v>130</v>
      </c>
      <c r="AJ5" s="2153" t="s">
        <v>131</v>
      </c>
      <c r="AK5" s="2153" t="s">
        <v>132</v>
      </c>
      <c r="AL5" s="2157" t="s">
        <v>133</v>
      </c>
      <c r="AM5" s="2153" t="s">
        <v>134</v>
      </c>
      <c r="AN5" s="278" t="s">
        <v>140</v>
      </c>
      <c r="AO5" s="278" t="s">
        <v>136</v>
      </c>
    </row>
    <row r="6" spans="2:41" s="9" customFormat="1" ht="15.5">
      <c r="B6" s="2156"/>
      <c r="C6" s="2154"/>
      <c r="D6" s="2154"/>
      <c r="E6" s="2154"/>
      <c r="F6" s="2158"/>
      <c r="G6" s="2154"/>
      <c r="H6" s="2134" t="s">
        <v>141</v>
      </c>
      <c r="I6" s="2134" t="s">
        <v>141</v>
      </c>
      <c r="J6" s="279"/>
      <c r="K6" s="2153"/>
      <c r="L6" s="15"/>
      <c r="M6" s="2153"/>
      <c r="N6" s="2153"/>
      <c r="O6" s="285"/>
      <c r="P6" s="285"/>
      <c r="Q6" s="285"/>
      <c r="R6" s="1356"/>
      <c r="S6" s="1356"/>
      <c r="T6" s="1356"/>
      <c r="U6" s="1357"/>
      <c r="V6" s="327" t="s">
        <v>142</v>
      </c>
      <c r="W6" s="1356"/>
      <c r="X6" s="1356"/>
      <c r="Y6" s="1356"/>
      <c r="Z6" s="1356"/>
      <c r="AA6" s="1357"/>
      <c r="AB6" s="327" t="s">
        <v>143</v>
      </c>
      <c r="AC6" s="1356"/>
      <c r="AD6" s="327" t="s">
        <v>144</v>
      </c>
      <c r="AE6" s="1356"/>
      <c r="AF6" s="1357"/>
      <c r="AG6" s="1358"/>
      <c r="AH6" s="2156"/>
      <c r="AI6" s="2154"/>
      <c r="AJ6" s="2154"/>
      <c r="AK6" s="2154"/>
      <c r="AL6" s="2158"/>
      <c r="AM6" s="2154"/>
      <c r="AN6" s="2134" t="s">
        <v>141</v>
      </c>
      <c r="AO6" s="2134" t="s">
        <v>141</v>
      </c>
    </row>
    <row r="7" spans="2:41" s="9" customFormat="1" ht="15.5">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5">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15" customHeight="1">
      <c r="B9" s="288" t="s">
        <v>148</v>
      </c>
      <c r="C9" s="289" t="str">
        <f>IF($K$3="Select company","",VLOOKUP($R$1,C_WQC,2,0))</f>
        <v>PR19NES_COM03</v>
      </c>
      <c r="D9" s="289" t="str">
        <f>IF($K$3="Select company","",INDEX(App1bdata,MATCH($C9,App1bIDnrs,0),20))</f>
        <v>number</v>
      </c>
      <c r="E9" s="289">
        <f>IF($K$3="Select company","",INDEX(App1bdata,MATCH($C9,App1bIDnrs,0),22))</f>
        <v>2</v>
      </c>
      <c r="F9" s="1821">
        <v>2.91</v>
      </c>
      <c r="G9" s="1822" t="s">
        <v>973</v>
      </c>
      <c r="H9" s="1827">
        <f>IF($C9="","",SUM(HLOOKUP($C9,'Model outputs - PC level'!$J$5:$BS$25,12,0),HLOOKUP($C9,'Model outputs - PC level'!$J$5:$BS$25,13,0),HLOOKUP($C9,'Model outputs - PC level'!$J$5:$BS$25,15,0),HLOOKUP($C9,'Model outputs - PC level'!$J$5:$BS$25,16,0),HLOOKUP($C9,'Model outputs - PC level'!$J$5:$BS$25,18,0),HLOOKUP($C9,'Model outputs - PC level'!$J$5:$BS$25,19,0)))</f>
        <v>-1.9655400000000001</v>
      </c>
      <c r="I9" s="1823"/>
      <c r="J9" s="35"/>
      <c r="K9" s="292" t="s">
        <v>149</v>
      </c>
      <c r="L9" s="1356"/>
      <c r="M9" s="326" t="str">
        <f>IF(SUM($V9:$Z9)=0,0,$V$6)</f>
        <v>Please complete all cells in the row</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1</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PR19NES_COM03</v>
      </c>
      <c r="AJ9" s="288" t="str">
        <f t="shared" si="2"/>
        <v>number</v>
      </c>
      <c r="AK9" s="288">
        <f t="shared" si="2"/>
        <v>2</v>
      </c>
      <c r="AL9" s="1443" t="s">
        <v>150</v>
      </c>
      <c r="AM9" s="1444" t="s">
        <v>151</v>
      </c>
      <c r="AN9" s="1445" t="s">
        <v>152</v>
      </c>
      <c r="AO9" s="1446" t="s">
        <v>153</v>
      </c>
    </row>
    <row r="10" spans="2:41" s="9" customFormat="1" ht="28.15" customHeight="1">
      <c r="B10" s="288" t="s">
        <v>154</v>
      </c>
      <c r="C10" s="290" t="str">
        <f>IF($K$3="Select company","",VLOOKUP($R$1,C_WSI,2,0))</f>
        <v>PR19NES_COM04</v>
      </c>
      <c r="D10" s="290" t="str">
        <f>IF($K$3="Select company","",INDEX(App1bdata,MATCH($C10,App1bIDnrs,0),20))</f>
        <v>hh:mm:ss</v>
      </c>
      <c r="E10" s="290">
        <f>IF($K$3="Select company","",INDEX(App1bdata,MATCH($C10,App1bIDnrs,0),22))</f>
        <v>0</v>
      </c>
      <c r="F10" s="2109">
        <v>4.5486111111111109E-3</v>
      </c>
      <c r="G10" s="1822" t="s">
        <v>973</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-1.1993333333333325</v>
      </c>
      <c r="I10" s="1823"/>
      <c r="J10" s="35"/>
      <c r="K10" s="292" t="s">
        <v>155</v>
      </c>
      <c r="L10" s="1356"/>
      <c r="M10" s="326" t="str">
        <f t="shared" ref="M10:M16" si="3">IF(SUM($V10:$Z10)=0,0,$V$6)</f>
        <v>Please complete all cells in the row</v>
      </c>
      <c r="N10" s="338">
        <f>IF(OR($AB10=1,$AD10=1),$AD$6,IF($AE10=1,$AD$7,0))</f>
        <v>0</v>
      </c>
      <c r="O10" s="330"/>
      <c r="P10" s="1958"/>
      <c r="Q10" s="317"/>
      <c r="R10" s="1356"/>
      <c r="S10" s="272"/>
      <c r="T10" s="1356"/>
      <c r="U10" s="1357"/>
      <c r="V10" s="325"/>
      <c r="W10" s="325"/>
      <c r="X10" s="325">
        <f t="shared" si="0"/>
        <v>0</v>
      </c>
      <c r="Y10" s="325"/>
      <c r="Z10" s="325">
        <f t="shared" si="1"/>
        <v>1</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PR19NES_COM04</v>
      </c>
      <c r="AJ10" s="288" t="str">
        <f t="shared" ref="AJ10:AJ16" si="7">D10</f>
        <v>hh:mm:ss</v>
      </c>
      <c r="AK10" s="288">
        <f t="shared" ref="AK10:AK16" si="8">E10</f>
        <v>0</v>
      </c>
      <c r="AL10" s="2114" t="s">
        <v>156</v>
      </c>
      <c r="AM10" s="1444" t="s">
        <v>157</v>
      </c>
      <c r="AN10" s="1447" t="s">
        <v>158</v>
      </c>
      <c r="AO10" s="1446" t="s">
        <v>159</v>
      </c>
    </row>
    <row r="11" spans="2:41" s="9" customFormat="1" ht="28.15" customHeight="1">
      <c r="B11" s="288" t="str">
        <f>IF($R$1="NES","Leakage NW region",IF($R$1="SSC","Leakage South Staffs region","Leakage"))</f>
        <v>Leakage NW region</v>
      </c>
      <c r="C11" s="290" t="str">
        <f>IF($K$3="Select company","",VLOOKUP($R$1,C_Leakage,2,0))</f>
        <v>PR19NES_COM05</v>
      </c>
      <c r="D11" s="290" t="str">
        <f>IF($K$3="Select company","",INDEX(App1bdata,MATCH($C11,App1bIDnrs,0),20))</f>
        <v>%</v>
      </c>
      <c r="E11" s="290">
        <f>IF($K$3="Select company","",INDEX(App1bdata,MATCH($C11,App1bIDnrs,0),22))</f>
        <v>1</v>
      </c>
      <c r="F11" s="1826">
        <f>IF(OR($R$1="NES",$R$1="SSC"),'3F.1'!$N$18,'3F'!$N$18)</f>
        <v>9.0504451038575731</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1.4999999999999999E-2</v>
      </c>
      <c r="I11" s="1823"/>
      <c r="J11" s="35"/>
      <c r="K11" s="292" t="s">
        <v>160</v>
      </c>
      <c r="L11" s="1356"/>
      <c r="M11" s="326" t="str">
        <f t="shared" si="3"/>
        <v>Please complete all cells in the row</v>
      </c>
      <c r="N11" s="338">
        <f>IF(OR($AB11=1,$AD11=1),$AD$6,IF($AE11=1,$AD$7,0))</f>
        <v>0</v>
      </c>
      <c r="O11" s="317"/>
      <c r="P11" s="317"/>
      <c r="Q11" s="317"/>
      <c r="R11" s="1356"/>
      <c r="S11" s="264"/>
      <c r="T11" s="1356"/>
      <c r="U11" s="1357"/>
      <c r="V11" s="325"/>
      <c r="W11" s="325"/>
      <c r="X11" s="325">
        <f t="shared" si="0"/>
        <v>0</v>
      </c>
      <c r="Y11" s="325"/>
      <c r="Z11" s="325">
        <f t="shared" si="1"/>
        <v>1</v>
      </c>
      <c r="AA11" s="1357"/>
      <c r="AB11" s="329">
        <f>IF(ISERROR($F11)=TRUE,1,0)</f>
        <v>0</v>
      </c>
      <c r="AC11" s="1356"/>
      <c r="AD11" s="325">
        <f t="shared" si="4"/>
        <v>0</v>
      </c>
      <c r="AE11" s="329">
        <f>IF(OR(AND(G11="Yes",H11&gt;=0),AND(G11="No",H11&lt;=0),AND(G11="-",H11=0)),0,1)</f>
        <v>0</v>
      </c>
      <c r="AF11" s="1357"/>
      <c r="AG11" s="1358"/>
      <c r="AH11" s="288" t="str">
        <f t="shared" si="5"/>
        <v>Leakage NW region</v>
      </c>
      <c r="AI11" s="288" t="str">
        <f t="shared" si="6"/>
        <v>PR19NES_COM05</v>
      </c>
      <c r="AJ11" s="288" t="str">
        <f t="shared" si="7"/>
        <v>%</v>
      </c>
      <c r="AK11" s="288">
        <f t="shared" si="8"/>
        <v>1</v>
      </c>
      <c r="AL11" s="2115" t="s">
        <v>161</v>
      </c>
      <c r="AM11" s="1444" t="s">
        <v>162</v>
      </c>
      <c r="AN11" s="1447" t="s">
        <v>163</v>
      </c>
      <c r="AO11" s="1446" t="s">
        <v>164</v>
      </c>
    </row>
    <row r="12" spans="2:41" s="9" customFormat="1" ht="28.15" customHeight="1">
      <c r="B12" s="291" t="str">
        <f>IF($R$1="NES","Leakage ESW region",IF($R$1="SSC","Leakage Cambridge region","[For use by NES and SSC only]"))</f>
        <v>Leakage ESW region</v>
      </c>
      <c r="C12" s="290" t="str">
        <f>IF(OR($R$1="NES",$R$1="SSC"),VLOOKUP($S$1,C_Leakage,2,0),"")</f>
        <v>PR19NES_COM06</v>
      </c>
      <c r="D12" s="290" t="str">
        <f>IF(OR($R$1="NES",$R$1="SSC"),INDEX(App1bdata,MATCH($C12,App1bIDnrs,0),20),"")</f>
        <v>%</v>
      </c>
      <c r="E12" s="290">
        <f>IF(OR($R$1="NES",$R$1="SSC"),INDEX(App1bdata,MATCH($C12,App1bIDnrs,0),22),"")</f>
        <v>1</v>
      </c>
      <c r="F12" s="1826">
        <f>IF(OR($R$1="NES",$R$1="SSC"),'3F.2'!$N$18,"")</f>
        <v>12.576687116564422</v>
      </c>
      <c r="G12" s="1822" t="s">
        <v>961</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0.21559999999999999</v>
      </c>
      <c r="I12" s="1823"/>
      <c r="J12" s="35"/>
      <c r="K12" s="292" t="s">
        <v>160</v>
      </c>
      <c r="L12" s="1356"/>
      <c r="M12" s="326" t="str">
        <f>IF($C12="",0,IF(SUM($V12:$Z12)=0,0,$V$6))</f>
        <v>Please complete all cells in the row</v>
      </c>
      <c r="N12" s="338">
        <f>IF($C12="",0,IF(OR($AB12=1,$AD12=1),$AD$6,IF($AE12=1,$AD$7,0)))</f>
        <v>0</v>
      </c>
      <c r="O12" s="317"/>
      <c r="P12" s="317"/>
      <c r="Q12" s="317"/>
      <c r="R12" s="1356"/>
      <c r="S12" s="264"/>
      <c r="T12" s="1356"/>
      <c r="U12" s="1357"/>
      <c r="V12" s="325"/>
      <c r="W12" s="325"/>
      <c r="X12" s="325">
        <f t="shared" si="0"/>
        <v>0</v>
      </c>
      <c r="Y12" s="325"/>
      <c r="Z12" s="325">
        <f t="shared" si="1"/>
        <v>1</v>
      </c>
      <c r="AA12" s="1357"/>
      <c r="AB12" s="329">
        <f>IF($C12="",0,IF(ISERROR($F12)=TRUE,1,0))</f>
        <v>0</v>
      </c>
      <c r="AC12" s="1356"/>
      <c r="AD12" s="329">
        <f>IF($C12="",0,IF(ISERROR($H12)=TRUE,1,0))</f>
        <v>0</v>
      </c>
      <c r="AE12" s="329">
        <f>IF($C12="",0,IF(OR(AND(G12="Yes",H12&gt;=0),AND(G12="No",H12&lt;=0),AND(G12="-",H12=0)),0,1))</f>
        <v>0</v>
      </c>
      <c r="AF12" s="1357"/>
      <c r="AG12" s="1358"/>
      <c r="AH12" s="288" t="str">
        <f t="shared" si="5"/>
        <v>Leakage ESW region</v>
      </c>
      <c r="AI12" s="288" t="str">
        <f t="shared" si="6"/>
        <v>PR19NES_COM06</v>
      </c>
      <c r="AJ12" s="288" t="str">
        <f t="shared" si="7"/>
        <v>%</v>
      </c>
      <c r="AK12" s="288">
        <f t="shared" si="8"/>
        <v>1</v>
      </c>
      <c r="AL12" s="2115" t="s">
        <v>165</v>
      </c>
      <c r="AM12" s="1444" t="s">
        <v>166</v>
      </c>
      <c r="AN12" s="1447" t="s">
        <v>167</v>
      </c>
      <c r="AO12" s="1446" t="s">
        <v>168</v>
      </c>
    </row>
    <row r="13" spans="2:41" s="9" customFormat="1" ht="28.15" customHeight="1">
      <c r="B13" s="1971" t="str">
        <f>IF($R$1="SSC","Per capita consumption South Staffs region","Per capita consumption")</f>
        <v>Per capita consumption</v>
      </c>
      <c r="C13" s="290" t="str">
        <f>IF($K$3="Select company","",VLOOKUP($R$1,C_PCC,2,0))</f>
        <v>PR19NES_COM07</v>
      </c>
      <c r="D13" s="290" t="str">
        <f>IF($K$3="Select company","",INDEX(App1bdata,MATCH($C13,App1bIDnrs,0),20))</f>
        <v xml:space="preserve">% </v>
      </c>
      <c r="E13" s="290">
        <f>IF($K$3="Select company","",INDEX(App1bdata,MATCH($C13,App1bIDnrs,0),22))</f>
        <v>1</v>
      </c>
      <c r="F13" s="1826">
        <f>IF($R$1="SSC",'3F.1'!$N$19,'3F'!$N$19)</f>
        <v>-2.4568393094289709</v>
      </c>
      <c r="G13" s="1822" t="s">
        <v>973</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-1.9602000000000002</v>
      </c>
      <c r="I13" s="1823"/>
      <c r="J13" s="35"/>
      <c r="K13" s="292" t="s">
        <v>169</v>
      </c>
      <c r="L13" s="1356"/>
      <c r="M13" s="326" t="str">
        <f t="shared" si="3"/>
        <v>Please complete all cells in the row</v>
      </c>
      <c r="N13" s="338">
        <f>IF(OR($AB13=1,$AD13=1),$AD$6,IF($AE13=1,$AD$7,0))</f>
        <v>0</v>
      </c>
      <c r="O13" s="317"/>
      <c r="P13" s="317"/>
      <c r="Q13" s="317"/>
      <c r="R13" s="1356"/>
      <c r="S13" s="264"/>
      <c r="T13" s="1356"/>
      <c r="U13" s="1357"/>
      <c r="V13" s="325"/>
      <c r="W13" s="325"/>
      <c r="X13" s="325">
        <f t="shared" si="0"/>
        <v>0</v>
      </c>
      <c r="Y13" s="325"/>
      <c r="Z13" s="325">
        <f t="shared" si="1"/>
        <v>1</v>
      </c>
      <c r="AA13" s="1357"/>
      <c r="AB13" s="329">
        <f>IF(ISERROR($F13)=TRUE,1,0)</f>
        <v>0</v>
      </c>
      <c r="AC13" s="1356"/>
      <c r="AD13" s="325">
        <f t="shared" si="4"/>
        <v>0</v>
      </c>
      <c r="AE13" s="329">
        <f>IF(OR(AND(G13="Yes",H13&gt;=0),AND(G13="No",H13&lt;=0),AND(G13="-",H13=0)),0,1)</f>
        <v>0</v>
      </c>
      <c r="AF13" s="1357"/>
      <c r="AG13" s="1358"/>
      <c r="AH13" s="288" t="str">
        <f t="shared" si="5"/>
        <v>Per capita consumption</v>
      </c>
      <c r="AI13" s="288" t="str">
        <f t="shared" si="6"/>
        <v>PR19NES_COM07</v>
      </c>
      <c r="AJ13" s="288" t="str">
        <f t="shared" si="7"/>
        <v xml:space="preserve">% </v>
      </c>
      <c r="AK13" s="288">
        <f t="shared" si="8"/>
        <v>1</v>
      </c>
      <c r="AL13" s="2115" t="s">
        <v>170</v>
      </c>
      <c r="AM13" s="1444" t="s">
        <v>171</v>
      </c>
      <c r="AN13" s="1447" t="s">
        <v>172</v>
      </c>
      <c r="AO13" s="1446" t="s">
        <v>173</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26" t="str">
        <f>IF($R$1="SSC",'3F.2'!$N$19,"")</f>
        <v/>
      </c>
      <c r="G14" s="1822"/>
      <c r="H14" s="182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3"/>
      <c r="J14" s="35"/>
      <c r="K14" s="292" t="s">
        <v>169</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[For use by SSC only]</v>
      </c>
      <c r="AI14" s="288" t="str">
        <f t="shared" si="6"/>
        <v/>
      </c>
      <c r="AJ14" s="288" t="str">
        <f t="shared" si="7"/>
        <v/>
      </c>
      <c r="AK14" s="288" t="str">
        <f t="shared" si="8"/>
        <v/>
      </c>
      <c r="AL14" s="2115" t="s">
        <v>174</v>
      </c>
      <c r="AM14" s="1444" t="s">
        <v>175</v>
      </c>
      <c r="AN14" s="1447" t="s">
        <v>176</v>
      </c>
      <c r="AO14" s="1446" t="s">
        <v>177</v>
      </c>
    </row>
    <row r="15" spans="2:41" s="9" customFormat="1" ht="28.15" customHeight="1">
      <c r="B15" s="288" t="s">
        <v>178</v>
      </c>
      <c r="C15" s="290" t="str">
        <f>IF($K$3="Select company","",VLOOKUP($R$1,C_MRepair,2,0))</f>
        <v>PR19NES_COM12</v>
      </c>
      <c r="D15" s="290" t="str">
        <f>IF($K$3="Select company","",INDEX(App1bdata,MATCH($C15,App1bIDnrs,0),20))</f>
        <v>number</v>
      </c>
      <c r="E15" s="290">
        <f>IF($K$3="Select company","",INDEX(App1bdata,MATCH($C15,App1bIDnrs,0),22))</f>
        <v>1</v>
      </c>
      <c r="F15" s="2107">
        <v>127.9</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c r="J15" s="35"/>
      <c r="K15" s="292" t="s">
        <v>179</v>
      </c>
      <c r="L15" s="1356"/>
      <c r="M15" s="326" t="str">
        <f t="shared" si="3"/>
        <v>Please complete all cells in the row</v>
      </c>
      <c r="N15" s="338">
        <f>IF(OR($AB15=1,$AD15=1),$AD$6,IF($AE15=1,$AD$7,0))</f>
        <v>0</v>
      </c>
      <c r="O15" s="330"/>
      <c r="P15" s="317"/>
      <c r="Q15" s="317"/>
      <c r="R15" s="1356"/>
      <c r="S15" s="264"/>
      <c r="T15" s="1356"/>
      <c r="U15" s="1357"/>
      <c r="V15" s="325"/>
      <c r="W15" s="325"/>
      <c r="X15" s="325">
        <f t="shared" si="0"/>
        <v>0</v>
      </c>
      <c r="Y15" s="325"/>
      <c r="Z15" s="325">
        <f t="shared" si="1"/>
        <v>1</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PR19NES_COM12</v>
      </c>
      <c r="AJ15" s="288" t="str">
        <f t="shared" si="7"/>
        <v>number</v>
      </c>
      <c r="AK15" s="288">
        <f t="shared" si="8"/>
        <v>1</v>
      </c>
      <c r="AL15" s="2115" t="s">
        <v>180</v>
      </c>
      <c r="AM15" s="1444" t="s">
        <v>181</v>
      </c>
      <c r="AN15" s="1447" t="s">
        <v>182</v>
      </c>
      <c r="AO15" s="1446" t="s">
        <v>183</v>
      </c>
    </row>
    <row r="16" spans="2:41" s="9" customFormat="1" ht="28.15" customHeight="1">
      <c r="B16" s="288" t="s">
        <v>184</v>
      </c>
      <c r="C16" s="290" t="str">
        <f>IF($K$3="Select company","",VLOOKUP($R$1,C_UOutage,2,0))</f>
        <v>PR19NES_COM13</v>
      </c>
      <c r="D16" s="290" t="str">
        <f>IF($K$3="Select company","",INDEX(App1bdata,MATCH($C16,App1bIDnrs,0),20))</f>
        <v>%</v>
      </c>
      <c r="E16" s="290">
        <f>IF($K$3="Select company","",INDEX(App1bdata,MATCH($C16,App1bIDnrs,0),22))</f>
        <v>2</v>
      </c>
      <c r="F16" s="2110">
        <v>3</v>
      </c>
      <c r="G16" s="1822" t="s">
        <v>961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23"/>
      <c r="J16" s="35"/>
      <c r="K16" s="292" t="s">
        <v>185</v>
      </c>
      <c r="L16" s="1356"/>
      <c r="M16" s="326" t="str">
        <f t="shared" si="3"/>
        <v>Please complete all cells in the row</v>
      </c>
      <c r="N16" s="338">
        <f>IF(OR($AB16=1,$AD16=1),$AD$6,IF($AE16=1,$AD$7,0))</f>
        <v>0</v>
      </c>
      <c r="O16" s="330"/>
      <c r="P16" s="317"/>
      <c r="Q16" s="317"/>
      <c r="R16" s="1356"/>
      <c r="S16" s="264"/>
      <c r="T16" s="1356"/>
      <c r="U16" s="1357"/>
      <c r="V16" s="325"/>
      <c r="W16" s="325"/>
      <c r="X16" s="325">
        <f t="shared" si="0"/>
        <v>0</v>
      </c>
      <c r="Y16" s="325"/>
      <c r="Z16" s="325">
        <f t="shared" si="1"/>
        <v>1</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PR19NES_COM13</v>
      </c>
      <c r="AJ16" s="288" t="str">
        <f t="shared" si="7"/>
        <v>%</v>
      </c>
      <c r="AK16" s="288">
        <f t="shared" si="8"/>
        <v>2</v>
      </c>
      <c r="AL16" s="2116" t="s">
        <v>186</v>
      </c>
      <c r="AM16" s="1444" t="s">
        <v>187</v>
      </c>
      <c r="AN16" s="1447" t="s">
        <v>188</v>
      </c>
      <c r="AO16" s="1446" t="s">
        <v>189</v>
      </c>
    </row>
    <row r="17" spans="2:41" s="9" customFormat="1" ht="14.5">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190</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191</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191</v>
      </c>
      <c r="AI18" s="12"/>
      <c r="AJ18" s="1353"/>
      <c r="AK18" s="1353"/>
      <c r="AL18" s="1353"/>
      <c r="AM18" s="1353"/>
      <c r="AN18" s="1353"/>
      <c r="AO18" s="1353"/>
    </row>
    <row r="19" spans="2:41" s="16" customFormat="1" ht="28.4" customHeight="1">
      <c r="B19" s="291" t="str">
        <f t="shared" ref="B19:B38" si="9">IF($K$3="Select company","",IF($C19="","",INDEX(App1data,MATCH($C19,App1IDnrs,0),5)))</f>
        <v>Visible leak repair time</v>
      </c>
      <c r="C19" s="293" t="str">
        <f>IF($K$3="Select company","",IF(HLOOKUP($R$1,BW_FIN_All,'PC lists'!$B33,0)="","",HLOOKUP($R$1,BW_FIN_All,'PC lists'!$B33,0)))</f>
        <v>PR19NES_BES04</v>
      </c>
      <c r="D19" s="293" t="str">
        <f t="shared" ref="D19:D38" si="10">IF($C19="","",INDEX(App1data,MATCH($C19,App1IDnrs,0),20))</f>
        <v>nr</v>
      </c>
      <c r="E19" s="293">
        <f t="shared" ref="E19:E38" si="11">IF($C19="","",INDEX(App1data,MATCH($C19,App1IDnrs,0),22))</f>
        <v>1</v>
      </c>
      <c r="F19" s="1822">
        <v>7.2</v>
      </c>
      <c r="G19" s="1822" t="s">
        <v>973</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-1.3696000000000002</v>
      </c>
      <c r="I19" s="1825"/>
      <c r="K19" s="292" t="s">
        <v>192</v>
      </c>
      <c r="M19" s="326" t="str">
        <f t="shared" ref="M19:M38" si="12">IF(SUM($V19:$Z19)=0,0,$V$6)</f>
        <v>Please complete all cells in the row</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0</v>
      </c>
      <c r="AF19" s="320"/>
      <c r="AG19" s="322"/>
      <c r="AH19" s="291" t="str">
        <f>B19</f>
        <v>Visible leak repair time</v>
      </c>
      <c r="AI19" s="291" t="str">
        <f t="shared" ref="AI19:AK19" si="17">C19</f>
        <v>PR19NES_BES04</v>
      </c>
      <c r="AJ19" s="291" t="str">
        <f t="shared" si="17"/>
        <v>nr</v>
      </c>
      <c r="AK19" s="291">
        <f t="shared" si="17"/>
        <v>1</v>
      </c>
      <c r="AL19" s="1444" t="s">
        <v>193</v>
      </c>
      <c r="AM19" s="1444" t="s">
        <v>194</v>
      </c>
      <c r="AN19" s="1447" t="s">
        <v>195</v>
      </c>
      <c r="AO19" s="1449" t="s">
        <v>196</v>
      </c>
    </row>
    <row r="20" spans="2:41" s="16" customFormat="1" ht="28.4" customHeight="1">
      <c r="B20" s="1971" t="str">
        <f t="shared" si="9"/>
        <v xml:space="preserve">Voids </v>
      </c>
      <c r="C20" s="293" t="str">
        <f>IF($K$3="Select company","",IF(HLOOKUP($R$1,BW_FIN_All,'PC lists'!$B34,0)="","",HLOOKUP($R$1,BW_FIN_All,'PC lists'!$B34,0)))</f>
        <v>PR19NES_BES08</v>
      </c>
      <c r="D20" s="293" t="str">
        <f t="shared" si="10"/>
        <v>%</v>
      </c>
      <c r="E20" s="293">
        <f t="shared" si="11"/>
        <v>2</v>
      </c>
      <c r="F20" s="1822">
        <v>3.5</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1.3325</v>
      </c>
      <c r="I20" s="1823"/>
      <c r="K20" s="292" t="s">
        <v>197</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 xml:space="preserve">Voids </v>
      </c>
      <c r="AI20" s="291" t="str">
        <f t="shared" ref="AI20:AI38" si="21">C20</f>
        <v>PR19NES_BES08</v>
      </c>
      <c r="AJ20" s="291" t="str">
        <f t="shared" ref="AJ20:AJ38" si="22">D20</f>
        <v>%</v>
      </c>
      <c r="AK20" s="291">
        <f t="shared" ref="AK20:AK38" si="23">E20</f>
        <v>2</v>
      </c>
      <c r="AL20" s="1444" t="s">
        <v>198</v>
      </c>
      <c r="AM20" s="1444" t="s">
        <v>199</v>
      </c>
      <c r="AN20" s="1447" t="s">
        <v>200</v>
      </c>
      <c r="AO20" s="1446" t="s">
        <v>201</v>
      </c>
    </row>
    <row r="21" spans="2:41" s="16" customFormat="1" ht="28.4" customHeight="1">
      <c r="B21" s="1971" t="str">
        <f t="shared" si="9"/>
        <v>Interruptions to supply greater than 12 hours</v>
      </c>
      <c r="C21" s="293" t="str">
        <f>IF($K$3="Select company","",IF(HLOOKUP($R$1,BW_FIN_All,'PC lists'!$B35,0)="","",HLOOKUP($R$1,BW_FIN_All,'PC lists'!$B35,0)))</f>
        <v>PR19NES_BES09</v>
      </c>
      <c r="D21" s="293" t="str">
        <f t="shared" si="10"/>
        <v>nr</v>
      </c>
      <c r="E21" s="293">
        <f t="shared" si="11"/>
        <v>0</v>
      </c>
      <c r="F21" s="1824">
        <v>150</v>
      </c>
      <c r="G21" s="1822" t="s">
        <v>961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0.91025</v>
      </c>
      <c r="I21" s="1823"/>
      <c r="K21" s="292" t="s">
        <v>202</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Interruptions to supply greater than 12 hours</v>
      </c>
      <c r="AI21" s="291" t="str">
        <f t="shared" si="21"/>
        <v>PR19NES_BES09</v>
      </c>
      <c r="AJ21" s="291" t="str">
        <f t="shared" si="22"/>
        <v>nr</v>
      </c>
      <c r="AK21" s="291">
        <f t="shared" si="23"/>
        <v>0</v>
      </c>
      <c r="AL21" s="1450" t="s">
        <v>203</v>
      </c>
      <c r="AM21" s="1444" t="s">
        <v>204</v>
      </c>
      <c r="AN21" s="1447" t="s">
        <v>205</v>
      </c>
      <c r="AO21" s="1446" t="s">
        <v>206</v>
      </c>
    </row>
    <row r="22" spans="2:41" s="16" customFormat="1" ht="28.4" customHeight="1">
      <c r="B22" s="1971" t="str">
        <f t="shared" si="9"/>
        <v>Discoloured water contacts</v>
      </c>
      <c r="C22" s="293" t="str">
        <f>IF($K$3="Select company","",IF(HLOOKUP($R$1,BW_FIN_All,'PC lists'!$B36,0)="","",HLOOKUP($R$1,BW_FIN_All,'PC lists'!$B36,0)))</f>
        <v>PR19NES_BES11</v>
      </c>
      <c r="D22" s="293" t="str">
        <f t="shared" si="10"/>
        <v>nr</v>
      </c>
      <c r="E22" s="293">
        <f t="shared" si="11"/>
        <v>2</v>
      </c>
      <c r="F22" s="1822">
        <v>7.42</v>
      </c>
      <c r="G22" s="1822" t="s">
        <v>961</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0.69362000000000079</v>
      </c>
      <c r="I22" s="1823"/>
      <c r="K22" s="292" t="s">
        <v>207</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Discoloured water contacts</v>
      </c>
      <c r="AI22" s="291" t="str">
        <f t="shared" si="21"/>
        <v>PR19NES_BES11</v>
      </c>
      <c r="AJ22" s="291" t="str">
        <f t="shared" si="22"/>
        <v>nr</v>
      </c>
      <c r="AK22" s="291">
        <f t="shared" si="23"/>
        <v>2</v>
      </c>
      <c r="AL22" s="1444" t="s">
        <v>208</v>
      </c>
      <c r="AM22" s="1444" t="s">
        <v>209</v>
      </c>
      <c r="AN22" s="1447" t="s">
        <v>210</v>
      </c>
      <c r="AO22" s="1446" t="s">
        <v>211</v>
      </c>
    </row>
    <row r="23" spans="2:41" s="16" customFormat="1" ht="28.4" customHeight="1">
      <c r="B23" s="1971" t="str">
        <f t="shared" si="9"/>
        <v>Taste and smell contacts</v>
      </c>
      <c r="C23" s="293" t="str">
        <f>IF($K$3="Select company","",IF(HLOOKUP($R$1,BW_FIN_All,'PC lists'!$B37,0)="","",HLOOKUP($R$1,BW_FIN_All,'PC lists'!$B37,0)))</f>
        <v>PR19NES_BES12</v>
      </c>
      <c r="D23" s="293" t="str">
        <f t="shared" si="10"/>
        <v>nr</v>
      </c>
      <c r="E23" s="293">
        <f t="shared" si="11"/>
        <v>2</v>
      </c>
      <c r="F23" s="1822">
        <v>1.74</v>
      </c>
      <c r="G23" s="1822" t="s">
        <v>961</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0.26340000000000002</v>
      </c>
      <c r="I23" s="1823"/>
      <c r="K23" s="292" t="s">
        <v>212</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Taste and smell contacts</v>
      </c>
      <c r="AI23" s="291" t="str">
        <f t="shared" si="21"/>
        <v>PR19NES_BES12</v>
      </c>
      <c r="AJ23" s="291" t="str">
        <f t="shared" si="22"/>
        <v>nr</v>
      </c>
      <c r="AK23" s="291">
        <f t="shared" si="23"/>
        <v>2</v>
      </c>
      <c r="AL23" s="1444" t="s">
        <v>213</v>
      </c>
      <c r="AM23" s="1444" t="s">
        <v>214</v>
      </c>
      <c r="AN23" s="1447" t="s">
        <v>215</v>
      </c>
      <c r="AO23" s="1446" t="s">
        <v>216</v>
      </c>
    </row>
    <row r="24" spans="2:41" s="16" customFormat="1" ht="28.4" customHeight="1">
      <c r="B24" s="1972" t="str">
        <f t="shared" si="9"/>
        <v xml:space="preserve">Event Risk Index  </v>
      </c>
      <c r="C24" s="1953" t="str">
        <f>IF($K$3="Select company","",IF(HLOOKUP($R$1,BW_FIN_All,'PC lists'!$B38,0)="","",HLOOKUP($R$1,BW_FIN_All,'PC lists'!$B38,0)))</f>
        <v>PR19NES_BES13</v>
      </c>
      <c r="D24" s="1953" t="str">
        <f t="shared" si="10"/>
        <v>nr</v>
      </c>
      <c r="E24" s="1953">
        <f t="shared" si="11"/>
        <v>3</v>
      </c>
      <c r="F24" s="1822">
        <v>14.071</v>
      </c>
      <c r="G24" s="1822" t="s">
        <v>961</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23"/>
      <c r="K24" s="292" t="s">
        <v>217</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 xml:space="preserve">Event Risk Index  </v>
      </c>
      <c r="AI24" s="291" t="str">
        <f t="shared" si="21"/>
        <v>PR19NES_BES13</v>
      </c>
      <c r="AJ24" s="291" t="str">
        <f t="shared" si="22"/>
        <v>nr</v>
      </c>
      <c r="AK24" s="291">
        <f t="shared" si="23"/>
        <v>3</v>
      </c>
      <c r="AL24" s="1444" t="s">
        <v>218</v>
      </c>
      <c r="AM24" s="1444" t="s">
        <v>219</v>
      </c>
      <c r="AN24" s="1447" t="s">
        <v>220</v>
      </c>
      <c r="AO24" s="1446" t="s">
        <v>221</v>
      </c>
    </row>
    <row r="25" spans="2:41" s="16" customFormat="1" ht="28.4" customHeight="1">
      <c r="B25" s="1972" t="str">
        <f t="shared" si="9"/>
        <v xml:space="preserve">Interruptions to supply between one and three hours </v>
      </c>
      <c r="C25" s="1953" t="str">
        <f>IF($K$3="Select company","",IF(HLOOKUP($R$1,BW_FIN_All,'PC lists'!$B39,0)="","",HLOOKUP($R$1,BW_FIN_All,'PC lists'!$B39,0)))</f>
        <v>PR19NES_BES14</v>
      </c>
      <c r="D25" s="1953" t="str">
        <f t="shared" si="10"/>
        <v xml:space="preserve">% </v>
      </c>
      <c r="E25" s="1953">
        <f t="shared" si="11"/>
        <v>1</v>
      </c>
      <c r="F25" s="1822">
        <v>96.6</v>
      </c>
      <c r="G25" s="1822" t="s">
        <v>973</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-0.39400000000000002</v>
      </c>
      <c r="I25" s="1823"/>
      <c r="K25" s="292" t="s">
        <v>222</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 xml:space="preserve">Interruptions to supply between one and three hours </v>
      </c>
      <c r="AI25" s="291" t="str">
        <f t="shared" si="21"/>
        <v>PR19NES_BES14</v>
      </c>
      <c r="AJ25" s="291" t="str">
        <f t="shared" si="22"/>
        <v xml:space="preserve">% </v>
      </c>
      <c r="AK25" s="291">
        <f t="shared" si="23"/>
        <v>1</v>
      </c>
      <c r="AL25" s="1444" t="s">
        <v>223</v>
      </c>
      <c r="AM25" s="1444" t="s">
        <v>224</v>
      </c>
      <c r="AN25" s="1447" t="s">
        <v>225</v>
      </c>
      <c r="AO25" s="1446" t="s">
        <v>226</v>
      </c>
    </row>
    <row r="26" spans="2:41" s="16" customFormat="1" ht="28.4" customHeight="1">
      <c r="B26" s="1972" t="str">
        <f t="shared" si="9"/>
        <v>Abstraction incentive mechanism (AIM)</v>
      </c>
      <c r="C26" s="1953" t="str">
        <f>IF($K$3="Select company","",IF(HLOOKUP($R$1,BW_FIN_All,'PC lists'!$B40,0)="","",HLOOKUP($R$1,BW_FIN_All,'PC lists'!$B40,0)))</f>
        <v>PR19NES_BES18</v>
      </c>
      <c r="D26" s="1953" t="str">
        <f t="shared" si="10"/>
        <v>nr</v>
      </c>
      <c r="E26" s="1953">
        <f t="shared" si="11"/>
        <v>0</v>
      </c>
      <c r="F26" s="1822">
        <v>0</v>
      </c>
      <c r="G26" s="1822" t="s">
        <v>961</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c r="K26" s="292" t="s">
        <v>227</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Abstraction incentive mechanism (AIM)</v>
      </c>
      <c r="AI26" s="291" t="str">
        <f t="shared" si="21"/>
        <v>PR19NES_BES18</v>
      </c>
      <c r="AJ26" s="291" t="str">
        <f t="shared" si="22"/>
        <v>nr</v>
      </c>
      <c r="AK26" s="291">
        <f t="shared" si="23"/>
        <v>0</v>
      </c>
      <c r="AL26" s="1444" t="s">
        <v>228</v>
      </c>
      <c r="AM26" s="1444" t="s">
        <v>229</v>
      </c>
      <c r="AN26" s="1447" t="s">
        <v>230</v>
      </c>
      <c r="AO26" s="1446" t="s">
        <v>231</v>
      </c>
    </row>
    <row r="27" spans="2:41" s="16" customFormat="1" ht="28.4" customHeight="1">
      <c r="B27" s="1972" t="str">
        <f t="shared" si="9"/>
        <v>Water environment improvements</v>
      </c>
      <c r="C27" s="1953" t="str">
        <f>IF($K$3="Select company","",IF(HLOOKUP($R$1,BW_FIN_All,'PC lists'!$B41,0)="","",HLOOKUP($R$1,BW_FIN_All,'PC lists'!$B41,0)))</f>
        <v>PR19NES_BES20</v>
      </c>
      <c r="D27" s="1953" t="str">
        <f t="shared" si="10"/>
        <v>nr</v>
      </c>
      <c r="E27" s="1953">
        <f t="shared" si="11"/>
        <v>1</v>
      </c>
      <c r="F27" s="1824">
        <v>58</v>
      </c>
      <c r="G27" s="1822" t="s">
        <v>961</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0.36864000000000002</v>
      </c>
      <c r="I27" s="1823"/>
      <c r="K27" s="292" t="s">
        <v>232</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Water environment improvements</v>
      </c>
      <c r="AI27" s="291" t="str">
        <f t="shared" si="21"/>
        <v>PR19NES_BES20</v>
      </c>
      <c r="AJ27" s="291" t="str">
        <f t="shared" si="22"/>
        <v>nr</v>
      </c>
      <c r="AK27" s="291">
        <f t="shared" si="23"/>
        <v>1</v>
      </c>
      <c r="AL27" s="1450" t="s">
        <v>233</v>
      </c>
      <c r="AM27" s="1444" t="s">
        <v>234</v>
      </c>
      <c r="AN27" s="1447" t="s">
        <v>235</v>
      </c>
      <c r="AO27" s="1446" t="s">
        <v>236</v>
      </c>
    </row>
    <row r="28" spans="2:41" s="16" customFormat="1" ht="28.4" customHeight="1">
      <c r="B28" s="1952" t="str">
        <f t="shared" si="9"/>
        <v>Greenhouse Gas Emissions</v>
      </c>
      <c r="C28" s="1953" t="str">
        <f>IF($K$3="Select company","",IF(HLOOKUP($R$1,BW_FIN_All,'PC lists'!$B42,0)="","",HLOOKUP($R$1,BW_FIN_All,'PC lists'!$B42,0)))</f>
        <v>PR19NES_BES21</v>
      </c>
      <c r="D28" s="1953" t="str">
        <f t="shared" si="10"/>
        <v>tCO2e</v>
      </c>
      <c r="E28" s="1953">
        <f t="shared" si="11"/>
        <v>0</v>
      </c>
      <c r="F28" s="1822">
        <v>15627</v>
      </c>
      <c r="G28" s="1822" t="s">
        <v>961</v>
      </c>
      <c r="H28" s="1828">
        <f>IF($C28="","",SUM(HLOOKUP($C28,'Model outputs - PC level'!$J$5:$BS$25,12,0),HLOOKUP($C28,'Model outputs - PC level'!$J$5:$BS$25,13,0),HLOOKUP($C28,'Model outputs - PC level'!$J$5:$BS$25,15,0),HLOOKUP($C28,'Model outputs - PC level'!$J$5:$BS$25,16,0),HLOOKUP($C28,'Model outputs - PC level'!$J$5:$BS$25,18,0),HLOOKUP($C28,'Model outputs - PC level'!$J$5:$BS$25,19,0)))</f>
        <v>1.4372819999999999</v>
      </c>
      <c r="I28" s="1823"/>
      <c r="K28" s="292" t="s">
        <v>237</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Greenhouse Gas Emissions</v>
      </c>
      <c r="AI28" s="291" t="str">
        <f t="shared" si="21"/>
        <v>PR19NES_BES21</v>
      </c>
      <c r="AJ28" s="291" t="str">
        <f t="shared" si="22"/>
        <v>tCO2e</v>
      </c>
      <c r="AK28" s="291">
        <f t="shared" si="23"/>
        <v>0</v>
      </c>
      <c r="AL28" s="1444" t="s">
        <v>238</v>
      </c>
      <c r="AM28" s="1444" t="s">
        <v>239</v>
      </c>
      <c r="AN28" s="1447" t="s">
        <v>240</v>
      </c>
      <c r="AO28" s="1446" t="s">
        <v>241</v>
      </c>
    </row>
    <row r="29" spans="2:41" s="16" customFormat="1" ht="28.4" customHeight="1">
      <c r="B29" s="288" t="str">
        <f t="shared" si="9"/>
        <v>Delivery of water resilience enhanced programme</v>
      </c>
      <c r="C29" s="293" t="str">
        <f>IF($K$3="Select company","",IF(HLOOKUP($R$1,BW_FIN_All,'PC lists'!$B43,0)="","",HLOOKUP($R$1,BW_FIN_All,'PC lists'!$B43,0)))</f>
        <v>PR19NES_BES24</v>
      </c>
      <c r="D29" s="293" t="str">
        <f t="shared" si="10"/>
        <v>%</v>
      </c>
      <c r="E29" s="293">
        <f t="shared" si="11"/>
        <v>1</v>
      </c>
      <c r="F29" s="1822">
        <v>59.3</v>
      </c>
      <c r="G29" s="1822" t="s">
        <v>961</v>
      </c>
      <c r="H29" s="1828">
        <f>IF($C29="","",SUM(HLOOKUP($C29,'Model outputs - PC level'!$J$5:$BS$25,12,0),HLOOKUP($C29,'Model outputs - PC level'!$J$5:$BS$25,13,0),HLOOKUP($C29,'Model outputs - PC level'!$J$5:$BS$25,15,0),HLOOKUP($C29,'Model outputs - PC level'!$J$5:$BS$25,16,0),HLOOKUP($C29,'Model outputs - PC level'!$J$5:$BS$25,18,0),HLOOKUP($C29,'Model outputs - PC level'!$J$5:$BS$25,19,0)))</f>
        <v>0</v>
      </c>
      <c r="I29" s="1823"/>
      <c r="K29" s="292" t="s">
        <v>242</v>
      </c>
      <c r="M29" s="326" t="str">
        <f t="shared" si="12"/>
        <v>Please complete all cells in the row</v>
      </c>
      <c r="N29" s="338">
        <f t="shared" si="18"/>
        <v>0</v>
      </c>
      <c r="O29" s="317"/>
      <c r="P29" s="317"/>
      <c r="Q29" s="317"/>
      <c r="U29" s="320"/>
      <c r="V29" s="325"/>
      <c r="W29" s="325">
        <f t="shared" si="13"/>
        <v>0</v>
      </c>
      <c r="X29" s="325">
        <f t="shared" si="14"/>
        <v>0</v>
      </c>
      <c r="Y29" s="325"/>
      <c r="Z29" s="325">
        <f t="shared" si="15"/>
        <v>1</v>
      </c>
      <c r="AA29" s="320"/>
      <c r="AD29" s="329">
        <f t="shared" si="16"/>
        <v>0</v>
      </c>
      <c r="AE29" s="329">
        <f t="shared" si="19"/>
        <v>0</v>
      </c>
      <c r="AF29" s="320"/>
      <c r="AG29" s="322"/>
      <c r="AH29" s="291" t="str">
        <f t="shared" si="20"/>
        <v>Delivery of water resilience enhanced programme</v>
      </c>
      <c r="AI29" s="291" t="str">
        <f t="shared" si="21"/>
        <v>PR19NES_BES24</v>
      </c>
      <c r="AJ29" s="291" t="str">
        <f t="shared" si="22"/>
        <v>%</v>
      </c>
      <c r="AK29" s="291">
        <f t="shared" si="23"/>
        <v>1</v>
      </c>
      <c r="AL29" s="1444" t="s">
        <v>243</v>
      </c>
      <c r="AM29" s="1444" t="s">
        <v>244</v>
      </c>
      <c r="AN29" s="1447" t="s">
        <v>245</v>
      </c>
      <c r="AO29" s="1446" t="s">
        <v>246</v>
      </c>
    </row>
    <row r="30" spans="2:41" s="16" customFormat="1" ht="28.4" customHeight="1">
      <c r="B30" s="288" t="str">
        <f t="shared" si="9"/>
        <v>Delivery of lead enhancement programme</v>
      </c>
      <c r="C30" s="293" t="str">
        <f>IF($K$3="Select company","",IF(HLOOKUP($R$1,BW_FIN_All,'PC lists'!$B44,0)="","",HLOOKUP($R$1,BW_FIN_All,'PC lists'!$B44,0)))</f>
        <v>PR19NES_BES25</v>
      </c>
      <c r="D30" s="293" t="str">
        <f t="shared" si="10"/>
        <v>%</v>
      </c>
      <c r="E30" s="293">
        <f t="shared" si="11"/>
        <v>1</v>
      </c>
      <c r="F30" s="1822">
        <v>59.9</v>
      </c>
      <c r="G30" s="1822" t="s">
        <v>973</v>
      </c>
      <c r="H30" s="1828">
        <f>IF($C30="","",SUM(HLOOKUP($C30,'Model outputs - PC level'!$J$5:$BS$25,12,0),HLOOKUP($C30,'Model outputs - PC level'!$J$5:$BS$25,13,0),HLOOKUP($C30,'Model outputs - PC level'!$J$5:$BS$25,15,0),HLOOKUP($C30,'Model outputs - PC level'!$J$5:$BS$25,16,0),HLOOKUP($C30,'Model outputs - PC level'!$J$5:$BS$25,18,0),HLOOKUP($C30,'Model outputs - PC level'!$J$5:$BS$25,19,0)))</f>
        <v>0</v>
      </c>
      <c r="I30" s="1823"/>
      <c r="K30" s="292" t="s">
        <v>247</v>
      </c>
      <c r="M30" s="326" t="str">
        <f t="shared" si="12"/>
        <v>Please complete all cells in the row</v>
      </c>
      <c r="N30" s="338">
        <f t="shared" si="18"/>
        <v>0</v>
      </c>
      <c r="O30" s="317"/>
      <c r="P30" s="317"/>
      <c r="Q30" s="317"/>
      <c r="U30" s="320"/>
      <c r="V30" s="325"/>
      <c r="W30" s="325">
        <f t="shared" si="13"/>
        <v>0</v>
      </c>
      <c r="X30" s="325">
        <f t="shared" si="14"/>
        <v>0</v>
      </c>
      <c r="Y30" s="325"/>
      <c r="Z30" s="325">
        <f t="shared" si="15"/>
        <v>1</v>
      </c>
      <c r="AA30" s="320"/>
      <c r="AD30" s="329">
        <f t="shared" si="16"/>
        <v>0</v>
      </c>
      <c r="AE30" s="329">
        <f t="shared" si="19"/>
        <v>0</v>
      </c>
      <c r="AF30" s="320"/>
      <c r="AG30" s="322"/>
      <c r="AH30" s="291" t="str">
        <f t="shared" si="20"/>
        <v>Delivery of lead enhancement programme</v>
      </c>
      <c r="AI30" s="291" t="str">
        <f t="shared" si="21"/>
        <v>PR19NES_BES25</v>
      </c>
      <c r="AJ30" s="291" t="str">
        <f t="shared" si="22"/>
        <v>%</v>
      </c>
      <c r="AK30" s="291">
        <f t="shared" si="23"/>
        <v>1</v>
      </c>
      <c r="AL30" s="1444" t="s">
        <v>248</v>
      </c>
      <c r="AM30" s="1444" t="s">
        <v>249</v>
      </c>
      <c r="AN30" s="1447" t="s">
        <v>250</v>
      </c>
      <c r="AO30" s="1446" t="s">
        <v>251</v>
      </c>
    </row>
    <row r="31" spans="2:41" s="16" customFormat="1" ht="28.4" customHeight="1">
      <c r="B31" s="288" t="str">
        <f t="shared" si="9"/>
        <v>Delivery of smart water metering enhancement programme</v>
      </c>
      <c r="C31" s="293" t="str">
        <f>IF($K$3="Select company","",IF(HLOOKUP($R$1,BW_FIN_All,'PC lists'!$B45,0)="","",HLOOKUP($R$1,BW_FIN_All,'PC lists'!$B45,0)))</f>
        <v>PR19NES_BES26</v>
      </c>
      <c r="D31" s="293" t="str">
        <f t="shared" si="10"/>
        <v>%</v>
      </c>
      <c r="E31" s="293">
        <f t="shared" si="11"/>
        <v>1</v>
      </c>
      <c r="F31" s="1824">
        <v>47.4</v>
      </c>
      <c r="G31" s="1822" t="s">
        <v>973</v>
      </c>
      <c r="H31" s="1828">
        <f>IF($C31="","",SUM(HLOOKUP($C31,'Model outputs - PC level'!$J$5:$BS$25,12,0),HLOOKUP($C31,'Model outputs - PC level'!$J$5:$BS$25,13,0),HLOOKUP($C31,'Model outputs - PC level'!$J$5:$BS$25,15,0),HLOOKUP($C31,'Model outputs - PC level'!$J$5:$BS$25,16,0),HLOOKUP($C31,'Model outputs - PC level'!$J$5:$BS$25,18,0),HLOOKUP($C31,'Model outputs - PC level'!$J$5:$BS$25,19,0)))</f>
        <v>0</v>
      </c>
      <c r="I31" s="1823"/>
      <c r="K31" s="292" t="s">
        <v>252</v>
      </c>
      <c r="M31" s="326" t="str">
        <f t="shared" si="12"/>
        <v>Please complete all cells in the row</v>
      </c>
      <c r="N31" s="338">
        <f t="shared" si="18"/>
        <v>0</v>
      </c>
      <c r="O31" s="317"/>
      <c r="P31" s="317"/>
      <c r="Q31" s="317"/>
      <c r="U31" s="320"/>
      <c r="V31" s="325"/>
      <c r="W31" s="325">
        <f t="shared" si="13"/>
        <v>0</v>
      </c>
      <c r="X31" s="325">
        <f t="shared" si="14"/>
        <v>0</v>
      </c>
      <c r="Y31" s="325"/>
      <c r="Z31" s="325">
        <f t="shared" si="15"/>
        <v>1</v>
      </c>
      <c r="AA31" s="320"/>
      <c r="AD31" s="329">
        <f t="shared" si="16"/>
        <v>0</v>
      </c>
      <c r="AE31" s="329">
        <f t="shared" si="19"/>
        <v>0</v>
      </c>
      <c r="AF31" s="320"/>
      <c r="AG31" s="322"/>
      <c r="AH31" s="291" t="str">
        <f t="shared" si="20"/>
        <v>Delivery of smart water metering enhancement programme</v>
      </c>
      <c r="AI31" s="291" t="str">
        <f t="shared" si="21"/>
        <v>PR19NES_BES26</v>
      </c>
      <c r="AJ31" s="291" t="str">
        <f t="shared" si="22"/>
        <v>%</v>
      </c>
      <c r="AK31" s="291">
        <f t="shared" si="23"/>
        <v>1</v>
      </c>
      <c r="AL31" s="1450" t="s">
        <v>253</v>
      </c>
      <c r="AM31" s="1444" t="s">
        <v>254</v>
      </c>
      <c r="AN31" s="1447" t="s">
        <v>255</v>
      </c>
      <c r="AO31" s="1446" t="s">
        <v>256</v>
      </c>
    </row>
    <row r="32" spans="2:41" s="16" customFormat="1" ht="28.4" customHeight="1">
      <c r="B32" s="288" t="str">
        <f t="shared" si="9"/>
        <v>Delivery of cyber resilience enhancement programme</v>
      </c>
      <c r="C32" s="293" t="str">
        <f>IF($K$3="Select company","",IF(HLOOKUP($R$1,BW_FIN_All,'PC lists'!$B46,0)="","",HLOOKUP($R$1,BW_FIN_All,'PC lists'!$B46,0)))</f>
        <v>PR19NES_BES28</v>
      </c>
      <c r="D32" s="293" t="str">
        <f t="shared" si="10"/>
        <v>%</v>
      </c>
      <c r="E32" s="293">
        <f t="shared" si="11"/>
        <v>1</v>
      </c>
      <c r="F32" s="1822">
        <v>73.400000000000006</v>
      </c>
      <c r="G32" s="1822" t="s">
        <v>961</v>
      </c>
      <c r="H32" s="1828">
        <f>IF($C32="","",SUM(HLOOKUP($C32,'Model outputs - PC level'!$J$5:$BS$25,12,0),HLOOKUP($C32,'Model outputs - PC level'!$J$5:$BS$25,13,0),HLOOKUP($C32,'Model outputs - PC level'!$J$5:$BS$25,15,0),HLOOKUP($C32,'Model outputs - PC level'!$J$5:$BS$25,16,0),HLOOKUP($C32,'Model outputs - PC level'!$J$5:$BS$25,18,0),HLOOKUP($C32,'Model outputs - PC level'!$J$5:$BS$25,19,0)))</f>
        <v>0</v>
      </c>
      <c r="I32" s="1823"/>
      <c r="K32" s="292" t="s">
        <v>257</v>
      </c>
      <c r="M32" s="326" t="str">
        <f t="shared" si="12"/>
        <v>Please complete all cells in the row</v>
      </c>
      <c r="N32" s="338">
        <f t="shared" si="18"/>
        <v>0</v>
      </c>
      <c r="O32" s="317"/>
      <c r="P32" s="317"/>
      <c r="Q32" s="317"/>
      <c r="U32" s="320"/>
      <c r="V32" s="325"/>
      <c r="W32" s="325">
        <f t="shared" si="13"/>
        <v>0</v>
      </c>
      <c r="X32" s="325">
        <f t="shared" si="14"/>
        <v>0</v>
      </c>
      <c r="Y32" s="325"/>
      <c r="Z32" s="325">
        <f t="shared" si="15"/>
        <v>1</v>
      </c>
      <c r="AA32" s="320"/>
      <c r="AD32" s="329">
        <f t="shared" si="16"/>
        <v>0</v>
      </c>
      <c r="AE32" s="329">
        <f t="shared" si="19"/>
        <v>0</v>
      </c>
      <c r="AF32" s="320"/>
      <c r="AG32" s="322"/>
      <c r="AH32" s="291" t="str">
        <f t="shared" si="20"/>
        <v>Delivery of cyber resilience enhancement programme</v>
      </c>
      <c r="AI32" s="291" t="str">
        <f t="shared" si="21"/>
        <v>PR19NES_BES28</v>
      </c>
      <c r="AJ32" s="291" t="str">
        <f t="shared" si="22"/>
        <v>%</v>
      </c>
      <c r="AK32" s="291">
        <f t="shared" si="23"/>
        <v>1</v>
      </c>
      <c r="AL32" s="1444" t="s">
        <v>258</v>
      </c>
      <c r="AM32" s="1444" t="s">
        <v>259</v>
      </c>
      <c r="AN32" s="1447" t="s">
        <v>260</v>
      </c>
      <c r="AO32" s="1446" t="s">
        <v>261</v>
      </c>
    </row>
    <row r="33" spans="1:41" s="16" customFormat="1" ht="28.4"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263</v>
      </c>
      <c r="AM33" s="1444" t="s">
        <v>264</v>
      </c>
      <c r="AN33" s="1447" t="s">
        <v>265</v>
      </c>
      <c r="AO33" s="1446" t="s">
        <v>266</v>
      </c>
    </row>
    <row r="34" spans="1:41" s="16" customFormat="1" ht="28.4"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268</v>
      </c>
      <c r="AM34" s="1444" t="s">
        <v>269</v>
      </c>
      <c r="AN34" s="1447" t="s">
        <v>270</v>
      </c>
      <c r="AO34" s="1446" t="s">
        <v>271</v>
      </c>
    </row>
    <row r="35" spans="1:41" s="16" customFormat="1" ht="28.4"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273</v>
      </c>
      <c r="AM35" s="1444" t="s">
        <v>274</v>
      </c>
      <c r="AN35" s="1447" t="s">
        <v>275</v>
      </c>
      <c r="AO35" s="1446" t="s">
        <v>276</v>
      </c>
    </row>
    <row r="36" spans="1:41" s="16" customFormat="1" ht="28.4"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278</v>
      </c>
      <c r="AM36" s="1444" t="s">
        <v>279</v>
      </c>
      <c r="AN36" s="1447" t="s">
        <v>280</v>
      </c>
      <c r="AO36" s="1446" t="s">
        <v>281</v>
      </c>
    </row>
    <row r="37" spans="1:41" s="16" customFormat="1" ht="28.4"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283</v>
      </c>
      <c r="AM37" s="1444" t="s">
        <v>284</v>
      </c>
      <c r="AN37" s="1447" t="s">
        <v>285</v>
      </c>
      <c r="AO37" s="1446" t="s">
        <v>286</v>
      </c>
    </row>
    <row r="38" spans="1:41" s="9" customFormat="1" ht="28.4"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287</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288</v>
      </c>
      <c r="AM38" s="1444" t="s">
        <v>289</v>
      </c>
      <c r="AN38" s="1447" t="s">
        <v>290</v>
      </c>
      <c r="AO38" s="1446" t="s">
        <v>291</v>
      </c>
    </row>
    <row r="39" spans="1:41" s="9" customFormat="1" ht="14.5">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6">
      <c r="A40" s="1356"/>
      <c r="B40" s="288" t="s">
        <v>292</v>
      </c>
      <c r="C40" s="348"/>
      <c r="D40" s="293" t="s">
        <v>293</v>
      </c>
      <c r="E40" s="293">
        <v>0</v>
      </c>
      <c r="F40" s="345"/>
      <c r="G40" s="1832">
        <f>IFERROR((COUNTIF($G$9:$G$38,"Yes")/(COUNTA($G$9:$G$38) - COUNTIF($G$9:$G$38,"-")))*100,"")</f>
        <v>66.666666666666657</v>
      </c>
      <c r="H40" s="361"/>
      <c r="I40" s="347"/>
      <c r="J40" s="16"/>
      <c r="K40" s="292" t="s">
        <v>294</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295</v>
      </c>
      <c r="AN40" s="361"/>
      <c r="AO40" s="347"/>
    </row>
    <row r="41" spans="1:41" s="9" customFormat="1" ht="28.5" customHeight="1">
      <c r="A41" s="1356"/>
      <c r="B41" s="288" t="s">
        <v>296</v>
      </c>
      <c r="C41" s="348"/>
      <c r="D41" s="293" t="s">
        <v>293</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76</v>
      </c>
      <c r="H41" s="346"/>
      <c r="I41" s="347"/>
      <c r="J41" s="16"/>
      <c r="K41" s="292" t="s">
        <v>297</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298</v>
      </c>
      <c r="AN41" s="346"/>
      <c r="AO41" s="347"/>
    </row>
    <row r="42" spans="1:41" s="9" customFormat="1" ht="14.5">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5">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election activeCell="F10" sqref="F1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970"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Northumbrian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306</v>
      </c>
      <c r="AK5" s="2134" t="s">
        <v>307</v>
      </c>
      <c r="AL5" s="2135" t="s">
        <v>308</v>
      </c>
      <c r="AM5" s="1453" t="s">
        <v>134</v>
      </c>
      <c r="AN5" s="299" t="s">
        <v>140</v>
      </c>
      <c r="AO5" s="299" t="s">
        <v>136</v>
      </c>
    </row>
    <row r="6" spans="2:41" s="9" customFormat="1" ht="16.149999999999999" customHeight="1">
      <c r="B6" s="2160"/>
      <c r="C6" s="2159"/>
      <c r="D6" s="2159"/>
      <c r="E6" s="2161"/>
      <c r="F6" s="2163"/>
      <c r="G6" s="2159"/>
      <c r="H6" s="2135" t="s">
        <v>141</v>
      </c>
      <c r="I6" s="2135" t="s">
        <v>141</v>
      </c>
      <c r="J6" s="280"/>
      <c r="K6" s="2159"/>
      <c r="L6" s="15"/>
      <c r="M6" s="2153"/>
      <c r="N6" s="2153"/>
      <c r="O6" s="1356"/>
      <c r="P6" s="1356"/>
      <c r="Q6" s="1356"/>
      <c r="R6" s="1356"/>
      <c r="S6" s="1356"/>
      <c r="T6" s="1356"/>
      <c r="U6" s="1357"/>
      <c r="V6" s="327" t="s">
        <v>142</v>
      </c>
      <c r="W6" s="1356"/>
      <c r="X6" s="1356"/>
      <c r="Y6" s="1356"/>
      <c r="Z6" s="1356"/>
      <c r="AA6" s="1357"/>
      <c r="AB6" s="327" t="s">
        <v>143</v>
      </c>
      <c r="AC6" s="1356"/>
      <c r="AD6" s="327" t="s">
        <v>309</v>
      </c>
      <c r="AE6" s="1356"/>
      <c r="AF6" s="1357"/>
      <c r="AG6" s="1356"/>
      <c r="AH6" s="1453"/>
      <c r="AI6" s="1453"/>
      <c r="AJ6" s="1453"/>
      <c r="AK6" s="1455"/>
      <c r="AL6" s="2135"/>
      <c r="AM6" s="1453" t="s">
        <v>310</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311</v>
      </c>
      <c r="AC7" s="1356"/>
      <c r="AD7" s="327" t="s">
        <v>146</v>
      </c>
      <c r="AE7" s="1356"/>
      <c r="AF7" s="1357"/>
      <c r="AG7" s="1356"/>
      <c r="AH7" s="1353"/>
      <c r="AI7" s="1353"/>
      <c r="AJ7" s="1353"/>
      <c r="AK7" s="1353"/>
      <c r="AL7" s="1353"/>
      <c r="AM7" s="1353"/>
      <c r="AN7" s="1353"/>
      <c r="AO7" s="1353"/>
    </row>
    <row r="8" spans="2:41" s="9" customFormat="1" ht="16.5" customHeight="1">
      <c r="B8" s="309" t="s">
        <v>312</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312</v>
      </c>
      <c r="AI8" s="12"/>
      <c r="AJ8" s="1353"/>
      <c r="AK8" s="1353"/>
      <c r="AL8" s="1353"/>
      <c r="AM8" s="1353"/>
      <c r="AN8" s="1353"/>
      <c r="AO8" s="1353"/>
    </row>
    <row r="9" spans="2:41" s="9" customFormat="1" ht="39">
      <c r="B9" s="288" t="str">
        <f>IF('Validation summary'!$F$3="Woc","","Internal sewer flooding")</f>
        <v>Internal sewer flooding</v>
      </c>
      <c r="C9" s="293" t="str">
        <f>IF(OR($K$3="Select company",'Validation summary'!$F$3="WoC"),"",VLOOKUP('3A'!$R$1,C_ISF,2,0))</f>
        <v>PR19NES_COM08</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8">
        <v>1.23</v>
      </c>
      <c r="G9" s="1822" t="s">
        <v>961</v>
      </c>
      <c r="H9" s="1828">
        <f>IF($C9="","",SUM(HLOOKUP($C9,'Model outputs - PC level'!$J$5:$BS$25,12,0),HLOOKUP($C9,'Model outputs - PC level'!$J$5:$BS$25,13,0),HLOOKUP($C9,'Model outputs - PC level'!$J$5:$BS$25,15,0),HLOOKUP($C9,'Model outputs - PC level'!$J$5:$BS$25,16,0),HLOOKUP($C9,'Model outputs - PC level'!$J$5:$BS$25,18,0),HLOOKUP($C9,'Model outputs - PC level'!$J$5:$BS$25,19,0)))</f>
        <v>0.52982999999999991</v>
      </c>
      <c r="I9" s="1830"/>
      <c r="J9" s="35"/>
      <c r="K9" s="292" t="s">
        <v>313</v>
      </c>
      <c r="L9" s="1356"/>
      <c r="M9" s="326" t="str">
        <f>IF(SUM($V9:$Z9)=0,0,$V$6)</f>
        <v>Please complete all cells in the row</v>
      </c>
      <c r="N9" s="338">
        <f>IF(OR($AB9=1,$AD9=1),$AD$6,IF($AE9=1,$AD$7,0))</f>
        <v>0</v>
      </c>
      <c r="O9" s="1356"/>
      <c r="P9" s="2121"/>
      <c r="Q9" s="1356"/>
      <c r="R9" s="1356"/>
      <c r="S9" s="1356"/>
      <c r="T9" s="1356"/>
      <c r="U9" s="1357"/>
      <c r="V9" s="325"/>
      <c r="W9" s="325"/>
      <c r="X9" s="325">
        <f>IF($C9="",0,IF(ISBLANK($G9)=TRUE,1,0))</f>
        <v>0</v>
      </c>
      <c r="Y9" s="325"/>
      <c r="Z9" s="325">
        <f>IF($C9="",0,IF(ISBLANK($I9)=TRUE,1,0))</f>
        <v>1</v>
      </c>
      <c r="AA9" s="1357"/>
      <c r="AB9" s="329">
        <f>IF(ISERROR($F9)=TRUE,1,0)</f>
        <v>0</v>
      </c>
      <c r="AC9" s="329"/>
      <c r="AD9" s="325">
        <f>IF(ISERROR($H9)=TRUE,1,0)</f>
        <v>0</v>
      </c>
      <c r="AE9" s="329">
        <f>IF($C15="",0,IF(OR(AND(G9="Yes",H9&gt;=0),AND(G9="No",H9&lt;=0),AND(G9="-",H9=0)),0,1))</f>
        <v>0</v>
      </c>
      <c r="AF9" s="1357"/>
      <c r="AG9" s="1356"/>
      <c r="AH9" s="288" t="str">
        <f>B9</f>
        <v>Internal sewer flooding</v>
      </c>
      <c r="AI9" s="288" t="str">
        <f t="shared" ref="AI9:AK12" si="0">C9</f>
        <v>PR19NES_COM08</v>
      </c>
      <c r="AJ9" s="288" t="str">
        <f t="shared" si="0"/>
        <v>Number of internal sewer flooding incidents per 10,000 sewer connection</v>
      </c>
      <c r="AK9" s="288">
        <f t="shared" si="0"/>
        <v>2</v>
      </c>
      <c r="AL9" s="1511" t="s">
        <v>314</v>
      </c>
      <c r="AM9" s="1457" t="s">
        <v>315</v>
      </c>
      <c r="AN9" s="1457" t="s">
        <v>316</v>
      </c>
      <c r="AO9" s="1458" t="s">
        <v>317</v>
      </c>
    </row>
    <row r="10" spans="2:41" s="9" customFormat="1" ht="28.5" customHeight="1">
      <c r="B10" s="288" t="str">
        <f>IF('Validation summary'!$F$3="Woc","","Pollution incidents")</f>
        <v>Pollution incidents</v>
      </c>
      <c r="C10" s="293" t="str">
        <f>IF(OR($K$3="Select company",'Validation summary'!$F$3="WoC"),"",VLOOKUP('3A'!$R$1,C_PI,2,0))</f>
        <v>PR19NES_COM09</v>
      </c>
      <c r="D10" s="293" t="str">
        <f>IF('Validation summary'!$F$3="Woc","","Pollution incidents per 10,000 km of sewer length")</f>
        <v>Pollution incidents per 10,000 km of sewer length</v>
      </c>
      <c r="E10" s="293">
        <f>IF(OR($K$3="Select company",'Validation summary'!$F$3="WoC"),"",INDEX(App1bdata,MATCH($C10,App1bIDnrs,0),22))</f>
        <v>2</v>
      </c>
      <c r="F10" s="2108">
        <v>22.31</v>
      </c>
      <c r="G10" s="1822" t="s">
        <v>961</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2.6909999999999955E-2</v>
      </c>
      <c r="I10" s="1830"/>
      <c r="J10" s="35"/>
      <c r="K10" s="292" t="s">
        <v>318</v>
      </c>
      <c r="L10" s="1356"/>
      <c r="M10" s="326" t="str">
        <f>IF(SUM($V10:$Z10)=0,0,$V$6)</f>
        <v>Please complete all cells in the row</v>
      </c>
      <c r="N10" s="338">
        <f>IF(OR($AB10=1,$AD10=1),$AD$6,IF($AE10=1,$AD$7,0))</f>
        <v>0</v>
      </c>
      <c r="O10" s="1356"/>
      <c r="P10" s="1356"/>
      <c r="Q10" s="1356"/>
      <c r="R10" s="1356"/>
      <c r="S10" s="1356"/>
      <c r="T10" s="1356"/>
      <c r="U10" s="1357"/>
      <c r="V10" s="325"/>
      <c r="W10" s="325"/>
      <c r="X10" s="325">
        <f>IF($C10="",0,IF(ISBLANK($G10)=TRUE,1,0))</f>
        <v>0</v>
      </c>
      <c r="Y10" s="325"/>
      <c r="Z10" s="325">
        <f>IF($C10="",0,IF(ISBLANK($I10)=TRUE,1,0))</f>
        <v>1</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Pollution incidents</v>
      </c>
      <c r="AI10" s="288" t="str">
        <f t="shared" si="0"/>
        <v>PR19NES_COM09</v>
      </c>
      <c r="AJ10" s="288" t="str">
        <f t="shared" si="0"/>
        <v>Pollution incidents per 10,000 km of sewer length</v>
      </c>
      <c r="AK10" s="288">
        <f t="shared" si="0"/>
        <v>2</v>
      </c>
      <c r="AL10" s="1511" t="s">
        <v>319</v>
      </c>
      <c r="AM10" s="1457" t="s">
        <v>320</v>
      </c>
      <c r="AN10" s="1457" t="s">
        <v>321</v>
      </c>
      <c r="AO10" s="1458" t="s">
        <v>322</v>
      </c>
    </row>
    <row r="11" spans="2:41" s="9" customFormat="1" ht="39.4" customHeight="1">
      <c r="B11" s="288" t="str">
        <f>IF('Validation summary'!$F$3="Woc","","Sewer collapses")</f>
        <v>Sewer collapses</v>
      </c>
      <c r="C11" s="293" t="str">
        <f>IF(OR($K$3="Select company",'Validation summary'!$F$3="WoC"),"",VLOOKUP('3A'!$R$1,C_SC,2,0))</f>
        <v>PR19NES_COM14</v>
      </c>
      <c r="D11" s="293" t="str">
        <f>IF('Validation summary'!$F$3="Woc","","Number of sewer collapses per 1,000 km of all sewers")</f>
        <v>Number of sewer collapses per 1,000 km of all sewers</v>
      </c>
      <c r="E11" s="293">
        <f>IF(OR($K$3="Select company",'Validation summary'!$F$3="WoC"),"",INDEX(App1bdata,MATCH($C11,App1bIDnrs,0),22))</f>
        <v>2</v>
      </c>
      <c r="F11" s="2108">
        <v>8.7899999999999991</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0"/>
      <c r="J11" s="35"/>
      <c r="K11" s="292" t="s">
        <v>323</v>
      </c>
      <c r="L11" s="1356"/>
      <c r="M11" s="326" t="str">
        <f>IF(SUM($V11:$Z11)=0,0,$V$6)</f>
        <v>Please complete all cells in the row</v>
      </c>
      <c r="N11" s="338">
        <f>IF(OR($AB11=1,$AD11=1),$AD$6,IF($AE11=1,$AD$7,0))</f>
        <v>0</v>
      </c>
      <c r="O11" s="1356"/>
      <c r="P11" s="1356"/>
      <c r="Q11" s="1356"/>
      <c r="R11" s="1356"/>
      <c r="S11" s="1356"/>
      <c r="T11" s="1356"/>
      <c r="U11" s="1357"/>
      <c r="V11" s="325"/>
      <c r="W11" s="325"/>
      <c r="X11" s="325">
        <f>IF($C11="",0,IF(ISBLANK($G11)=TRUE,1,0))</f>
        <v>0</v>
      </c>
      <c r="Y11" s="325"/>
      <c r="Z11" s="325">
        <f>IF($C11="",0,IF(ISBLANK($I11)=TRUE,1,0))</f>
        <v>1</v>
      </c>
      <c r="AA11" s="1357"/>
      <c r="AB11" s="329">
        <f t="shared" si="1"/>
        <v>0</v>
      </c>
      <c r="AC11" s="329"/>
      <c r="AD11" s="325">
        <f t="shared" si="2"/>
        <v>0</v>
      </c>
      <c r="AE11" s="329">
        <f>IF($C17="",0,IF(OR(AND(G11="Yes",H11&gt;=0),AND(G11="No",H11&lt;=0),AND(G11="-",H11=0)),0,1))</f>
        <v>0</v>
      </c>
      <c r="AF11" s="1357"/>
      <c r="AG11" s="1356"/>
      <c r="AH11" s="288" t="str">
        <f t="shared" si="3"/>
        <v>Sewer collapses</v>
      </c>
      <c r="AI11" s="288" t="str">
        <f t="shared" si="0"/>
        <v>PR19NES_COM14</v>
      </c>
      <c r="AJ11" s="288" t="str">
        <f t="shared" si="0"/>
        <v>Number of sewer collapses per 1,000 km of all sewers</v>
      </c>
      <c r="AK11" s="288">
        <f t="shared" si="0"/>
        <v>2</v>
      </c>
      <c r="AL11" s="1511" t="s">
        <v>324</v>
      </c>
      <c r="AM11" s="1457" t="s">
        <v>325</v>
      </c>
      <c r="AN11" s="1457" t="s">
        <v>326</v>
      </c>
      <c r="AO11" s="1458" t="s">
        <v>327</v>
      </c>
    </row>
    <row r="12" spans="2:41" s="9" customFormat="1" ht="28.5" customHeight="1">
      <c r="B12" s="288" t="str">
        <f>IF('Validation summary'!$F$3="Woc","","Treatment works compliance")</f>
        <v>Treatment works compliance</v>
      </c>
      <c r="C12" s="293" t="str">
        <f>IF(OR($K$3="Select company",'Validation summary'!$F$3="WoC"),"",VLOOKUP('3A'!$R$1,C_TWC,2,0))</f>
        <v>PR19NES_COM15</v>
      </c>
      <c r="D12" s="293" t="str">
        <f>IF('Validation summary'!$F$3="Woc","","%")</f>
        <v>%</v>
      </c>
      <c r="E12" s="293">
        <f>IF(OR($K$3="Select company",'Validation summary'!$F$3="WoC"),"",INDEX(App1bdata,MATCH($C12,App1bIDnrs,0),22))</f>
        <v>2</v>
      </c>
      <c r="F12" s="1831">
        <v>98.52</v>
      </c>
      <c r="G12" s="1822" t="s">
        <v>973</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-0.28656000000000237</v>
      </c>
      <c r="I12" s="1830"/>
      <c r="J12" s="35"/>
      <c r="K12" s="292" t="s">
        <v>328</v>
      </c>
      <c r="L12" s="1356"/>
      <c r="M12" s="326" t="str">
        <f>IF(SUM($V12:$Z12)=0,0,$V$6)</f>
        <v>Please complete all cells in the row</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1</v>
      </c>
      <c r="AA12" s="1357"/>
      <c r="AB12" s="329">
        <f>IF(OR($F12&lt;0,$F12&gt;100),1,0)</f>
        <v>0</v>
      </c>
      <c r="AC12" s="329"/>
      <c r="AD12" s="325">
        <f t="shared" si="2"/>
        <v>0</v>
      </c>
      <c r="AE12" s="329">
        <f>IF($C18="",0,IF(OR(AND(G12="Yes",H12&gt;=0),AND(G12="No",H12&lt;=0),AND(G12="-",H12=0)),0,1))</f>
        <v>0</v>
      </c>
      <c r="AF12" s="1357"/>
      <c r="AG12" s="1356"/>
      <c r="AH12" s="288" t="str">
        <f t="shared" si="3"/>
        <v>Treatment works compliance</v>
      </c>
      <c r="AI12" s="288" t="str">
        <f t="shared" si="0"/>
        <v>PR19NES_COM15</v>
      </c>
      <c r="AJ12" s="288" t="str">
        <f t="shared" si="0"/>
        <v>%</v>
      </c>
      <c r="AK12" s="288">
        <f t="shared" si="0"/>
        <v>2</v>
      </c>
      <c r="AL12" s="2113" t="s">
        <v>329</v>
      </c>
      <c r="AM12" s="1457" t="s">
        <v>330</v>
      </c>
      <c r="AN12" s="1457" t="s">
        <v>331</v>
      </c>
      <c r="AO12" s="1458" t="s">
        <v>332</v>
      </c>
    </row>
    <row r="13" spans="2:41" s="9" customFormat="1" ht="15.5">
      <c r="B13" s="1353"/>
      <c r="C13" s="1353"/>
      <c r="D13" s="1353"/>
      <c r="E13" s="1353"/>
      <c r="F13" s="1353"/>
      <c r="G13" s="1353"/>
      <c r="H13" s="1353"/>
      <c r="I13" s="1353"/>
      <c r="J13" s="35"/>
      <c r="K13" s="1356"/>
      <c r="L13" s="1356"/>
      <c r="M13" s="1356"/>
      <c r="N13" s="1356"/>
      <c r="O13" s="1356"/>
      <c r="P13" s="1356"/>
      <c r="Q13" s="1356"/>
      <c r="R13" s="1356"/>
      <c r="S13" s="1356"/>
      <c r="T13" s="1356"/>
      <c r="U13" s="1357"/>
      <c r="V13" s="1356" t="s">
        <v>190</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333</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333</v>
      </c>
      <c r="AI14" s="12"/>
      <c r="AJ14" s="1353"/>
      <c r="AK14" s="1353"/>
      <c r="AL14" s="1353"/>
      <c r="AM14" s="1353"/>
      <c r="AN14" s="1353"/>
      <c r="AO14" s="1353"/>
    </row>
    <row r="15" spans="2:41" s="9" customFormat="1" ht="28.4" customHeight="1">
      <c r="B15" s="288" t="str">
        <f>IF(OR($K$3="Select company",'Validation summary'!$F$3="WoC"),"",IF($C15="","",INDEX(App1data,MATCH($C15,App1IDnrs,0),5)))</f>
        <v>Sewer blockages</v>
      </c>
      <c r="C15" s="293" t="str">
        <f>IF(OR($K$3="Select company",'Validation summary'!$F$3="WoC"),"",IF(HLOOKUP('3A'!$R$1,BWW_FIN_All,'PC lists'!$B59,0)="","",HLOOKUP('3A'!$R$1,BWW_FIN_All,'PC lists'!$B59,0)))</f>
        <v>PR19NES_BES15</v>
      </c>
      <c r="D15" s="293" t="str">
        <f t="shared" ref="D15:D28" si="4">IF($C15="","",INDEX(App1data,MATCH($C15,App1IDnrs,0),20))</f>
        <v>nr</v>
      </c>
      <c r="E15" s="293">
        <f t="shared" ref="E15:E28" si="5">IF($C15="","",INDEX(App1data,MATCH($C15,App1IDnrs,0),22))</f>
        <v>0</v>
      </c>
      <c r="F15" s="1822">
        <v>10500</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0.35099999999999998</v>
      </c>
      <c r="I15" s="1830"/>
      <c r="J15" s="1356"/>
      <c r="K15" s="292" t="s">
        <v>334</v>
      </c>
      <c r="L15" s="1356"/>
      <c r="M15" s="326" t="str">
        <f t="shared" ref="M15:M28" si="6">IF(SUM($V15:$Z15)=0,0,$V$6)</f>
        <v>Please complete all cells in the row</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57"/>
      <c r="AG15" s="1356"/>
      <c r="AH15" s="288" t="str">
        <f t="shared" ref="AH15:AK28" si="11">B15</f>
        <v>Sewer blockages</v>
      </c>
      <c r="AI15" s="288" t="str">
        <f t="shared" si="11"/>
        <v>PR19NES_BES15</v>
      </c>
      <c r="AJ15" s="288" t="str">
        <f t="shared" si="11"/>
        <v>nr</v>
      </c>
      <c r="AK15" s="288">
        <f t="shared" si="11"/>
        <v>0</v>
      </c>
      <c r="AL15" s="1457" t="s">
        <v>335</v>
      </c>
      <c r="AM15" s="1457" t="s">
        <v>336</v>
      </c>
      <c r="AN15" s="1457" t="s">
        <v>337</v>
      </c>
      <c r="AO15" s="1458" t="s">
        <v>338</v>
      </c>
    </row>
    <row r="16" spans="2:41" s="9" customFormat="1" ht="28.4" customHeight="1">
      <c r="B16" s="1952" t="str">
        <f>IF(OR($K$3="Select company",'Validation summary'!$F$3="WoC"),"",IF($C16="","",INDEX(App1data,MATCH($C16,App1IDnrs,0),5)))</f>
        <v>External sewer flooding</v>
      </c>
      <c r="C16" s="1953" t="str">
        <f>IF(OR($K$3="Select company",'Validation summary'!$F$3="WoC"),"",IF(HLOOKUP('3A'!$R$1,BWW_FIN_All,'PC lists'!$B60,0)="","",HLOOKUP('3A'!$R$1,BWW_FIN_All,'PC lists'!$B60,0)))</f>
        <v>PR19NES_BES16</v>
      </c>
      <c r="D16" s="1953" t="str">
        <f t="shared" si="4"/>
        <v>nr</v>
      </c>
      <c r="E16" s="1953">
        <f t="shared" si="5"/>
        <v>0</v>
      </c>
      <c r="F16" s="1822">
        <v>2824</v>
      </c>
      <c r="G16" s="1822" t="s">
        <v>961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1.7239999999999998E-2</v>
      </c>
      <c r="I16" s="1830"/>
      <c r="J16" s="1356"/>
      <c r="K16" s="292" t="s">
        <v>339</v>
      </c>
      <c r="L16" s="1356"/>
      <c r="M16" s="326" t="str">
        <f t="shared" si="6"/>
        <v>Please complete all cells in the row</v>
      </c>
      <c r="N16" s="326">
        <f t="shared" ref="N16:N28" si="12">IF($AD16=1,$AD$6,IF($AE16=1,$AD$7,0))</f>
        <v>0</v>
      </c>
      <c r="O16" s="1356"/>
      <c r="P16" s="1356"/>
      <c r="Q16" s="1356"/>
      <c r="R16" s="1356"/>
      <c r="S16" s="1356"/>
      <c r="T16" s="1356"/>
      <c r="U16" s="1357"/>
      <c r="V16" s="325"/>
      <c r="W16" s="325">
        <f t="shared" si="7"/>
        <v>0</v>
      </c>
      <c r="X16" s="325">
        <f t="shared" si="8"/>
        <v>0</v>
      </c>
      <c r="Y16" s="325"/>
      <c r="Z16" s="325">
        <f t="shared" si="9"/>
        <v>1</v>
      </c>
      <c r="AA16" s="320"/>
      <c r="AB16" s="16"/>
      <c r="AC16" s="16"/>
      <c r="AD16" s="329">
        <f t="shared" si="10"/>
        <v>0</v>
      </c>
      <c r="AE16" s="329">
        <f t="shared" ref="AE16:AE28" si="13">IF($C16="",0,IF(OR(AND(G16="Yes",H16&gt;=0),AND(G16="No",H16&lt;=0),AND(G16="-",H16=0)),0,1))</f>
        <v>0</v>
      </c>
      <c r="AF16" s="1357"/>
      <c r="AG16" s="1356"/>
      <c r="AH16" s="288" t="str">
        <f t="shared" si="11"/>
        <v>External sewer flooding</v>
      </c>
      <c r="AI16" s="288" t="str">
        <f t="shared" si="11"/>
        <v>PR19NES_BES16</v>
      </c>
      <c r="AJ16" s="288" t="str">
        <f t="shared" si="11"/>
        <v>nr</v>
      </c>
      <c r="AK16" s="288">
        <f t="shared" si="11"/>
        <v>0</v>
      </c>
      <c r="AL16" s="1457" t="s">
        <v>340</v>
      </c>
      <c r="AM16" s="1457" t="s">
        <v>341</v>
      </c>
      <c r="AN16" s="1457" t="s">
        <v>342</v>
      </c>
      <c r="AO16" s="1458" t="s">
        <v>343</v>
      </c>
    </row>
    <row r="17" spans="2:41" s="9" customFormat="1" ht="28.4" customHeight="1">
      <c r="B17" s="1952" t="str">
        <f>IF(OR($K$3="Select company",'Validation summary'!$F$3="WoC"),"",IF($C17="","",INDEX(App1data,MATCH($C17,App1IDnrs,0),5)))</f>
        <v xml:space="preserve">Repeat sewer flooding </v>
      </c>
      <c r="C17" s="1953" t="str">
        <f>IF(OR($K$3="Select company",'Validation summary'!$F$3="WoC"),"",IF(HLOOKUP('3A'!$R$1,BWW_FIN_All,'PC lists'!$B61,0)="","",HLOOKUP('3A'!$R$1,BWW_FIN_All,'PC lists'!$B61,0)))</f>
        <v>PR19NES_BES17</v>
      </c>
      <c r="D17" s="1953" t="str">
        <f t="shared" si="4"/>
        <v>nr</v>
      </c>
      <c r="E17" s="1953">
        <f t="shared" si="5"/>
        <v>0</v>
      </c>
      <c r="F17" s="1822">
        <v>27</v>
      </c>
      <c r="G17" s="1822" t="s">
        <v>961</v>
      </c>
      <c r="H17" s="1828">
        <f>IF($C17="","",SUM(HLOOKUP($C17,'Model outputs - PC level'!$J$5:$BS$25,12,0),HLOOKUP($C17,'Model outputs - PC level'!$J$5:$BS$25,13,0),HLOOKUP($C17,'Model outputs - PC level'!$J$5:$BS$25,15,0),HLOOKUP($C17,'Model outputs - PC level'!$J$5:$BS$25,16,0),HLOOKUP($C17,'Model outputs - PC level'!$J$5:$BS$25,18,0),HLOOKUP($C17,'Model outputs - PC level'!$J$5:$BS$25,19,0)))</f>
        <v>0.66120000000000001</v>
      </c>
      <c r="I17" s="1830"/>
      <c r="J17" s="1356"/>
      <c r="K17" s="292" t="s">
        <v>344</v>
      </c>
      <c r="L17" s="1356"/>
      <c r="M17" s="326" t="str">
        <f t="shared" si="6"/>
        <v>Please complete all cells in the row</v>
      </c>
      <c r="N17" s="326">
        <f t="shared" si="12"/>
        <v>0</v>
      </c>
      <c r="O17" s="1356"/>
      <c r="P17" s="1356"/>
      <c r="Q17" s="1356"/>
      <c r="R17" s="1356"/>
      <c r="S17" s="1356"/>
      <c r="T17" s="1356"/>
      <c r="U17" s="1357"/>
      <c r="V17" s="325"/>
      <c r="W17" s="325">
        <f t="shared" si="7"/>
        <v>0</v>
      </c>
      <c r="X17" s="325">
        <f t="shared" si="8"/>
        <v>0</v>
      </c>
      <c r="Y17" s="325"/>
      <c r="Z17" s="325">
        <f t="shared" si="9"/>
        <v>1</v>
      </c>
      <c r="AA17" s="320"/>
      <c r="AB17" s="16"/>
      <c r="AC17" s="16"/>
      <c r="AD17" s="329">
        <f t="shared" si="10"/>
        <v>0</v>
      </c>
      <c r="AE17" s="329">
        <f t="shared" si="13"/>
        <v>0</v>
      </c>
      <c r="AF17" s="1357"/>
      <c r="AG17" s="1356"/>
      <c r="AH17" s="288" t="str">
        <f t="shared" si="11"/>
        <v xml:space="preserve">Repeat sewer flooding </v>
      </c>
      <c r="AI17" s="288" t="str">
        <f t="shared" si="11"/>
        <v>PR19NES_BES17</v>
      </c>
      <c r="AJ17" s="288" t="str">
        <f t="shared" si="11"/>
        <v>nr</v>
      </c>
      <c r="AK17" s="288">
        <f t="shared" si="11"/>
        <v>0</v>
      </c>
      <c r="AL17" s="1457" t="s">
        <v>345</v>
      </c>
      <c r="AM17" s="1457" t="s">
        <v>346</v>
      </c>
      <c r="AN17" s="1457" t="s">
        <v>347</v>
      </c>
      <c r="AO17" s="1458" t="s">
        <v>348</v>
      </c>
    </row>
    <row r="18" spans="2:41" s="9" customFormat="1" ht="28.4" customHeight="1">
      <c r="B18" s="1952" t="str">
        <f>IF(OR($K$3="Select company",'Validation summary'!$F$3="WoC"),"",IF($C18="","",INDEX(App1data,MATCH($C18,App1IDnrs,0),5)))</f>
        <v xml:space="preserve">Bathing water compliance </v>
      </c>
      <c r="C18" s="1953" t="str">
        <f>IF(OR($K$3="Select company",'Validation summary'!$F$3="WoC"),"",IF(HLOOKUP('3A'!$R$1,BWW_FIN_All,'PC lists'!$B62,0)="","",HLOOKUP('3A'!$R$1,BWW_FIN_All,'PC lists'!$B62,0)))</f>
        <v>PR19NES_BES19</v>
      </c>
      <c r="D18" s="1953" t="str">
        <f t="shared" si="4"/>
        <v>%</v>
      </c>
      <c r="E18" s="1953">
        <f t="shared" si="5"/>
        <v>2</v>
      </c>
      <c r="F18" s="1824">
        <v>94.1</v>
      </c>
      <c r="G18" s="1822" t="s">
        <v>973</v>
      </c>
      <c r="H18" s="1828">
        <f>IF($C18="","",SUM(HLOOKUP($C18,'Model outputs - PC level'!$J$5:$BS$25,12,0),HLOOKUP($C18,'Model outputs - PC level'!$J$5:$BS$25,13,0),HLOOKUP($C18,'Model outputs - PC level'!$J$5:$BS$25,15,0),HLOOKUP($C18,'Model outputs - PC level'!$J$5:$BS$25,16,0),HLOOKUP($C18,'Model outputs - PC level'!$J$5:$BS$25,18,0),HLOOKUP($C18,'Model outputs - PC level'!$J$5:$BS$25,19,0)))</f>
        <v>-0.73704000000000203</v>
      </c>
      <c r="I18" s="1830"/>
      <c r="J18" s="1356"/>
      <c r="K18" s="292" t="s">
        <v>349</v>
      </c>
      <c r="L18" s="1356"/>
      <c r="M18" s="326" t="str">
        <f t="shared" si="6"/>
        <v>Please complete all cells in the row</v>
      </c>
      <c r="N18" s="326">
        <f t="shared" si="12"/>
        <v>0</v>
      </c>
      <c r="O18" s="1356"/>
      <c r="P18" s="1356"/>
      <c r="Q18" s="1356"/>
      <c r="R18" s="1356"/>
      <c r="S18" s="1356"/>
      <c r="T18" s="1356"/>
      <c r="U18" s="1357"/>
      <c r="V18" s="325"/>
      <c r="W18" s="325">
        <f t="shared" si="7"/>
        <v>0</v>
      </c>
      <c r="X18" s="325">
        <f t="shared" si="8"/>
        <v>0</v>
      </c>
      <c r="Y18" s="325"/>
      <c r="Z18" s="325">
        <f t="shared" si="9"/>
        <v>1</v>
      </c>
      <c r="AA18" s="320"/>
      <c r="AB18" s="16"/>
      <c r="AC18" s="16"/>
      <c r="AD18" s="329">
        <f t="shared" si="10"/>
        <v>0</v>
      </c>
      <c r="AE18" s="329">
        <f t="shared" si="13"/>
        <v>0</v>
      </c>
      <c r="AF18" s="1357"/>
      <c r="AG18" s="1356"/>
      <c r="AH18" s="288" t="str">
        <f t="shared" si="11"/>
        <v xml:space="preserve">Bathing water compliance </v>
      </c>
      <c r="AI18" s="288" t="str">
        <f t="shared" si="11"/>
        <v>PR19NES_BES19</v>
      </c>
      <c r="AJ18" s="288" t="str">
        <f t="shared" si="11"/>
        <v>%</v>
      </c>
      <c r="AK18" s="288">
        <f t="shared" si="11"/>
        <v>2</v>
      </c>
      <c r="AL18" s="1457" t="s">
        <v>350</v>
      </c>
      <c r="AM18" s="1457" t="s">
        <v>351</v>
      </c>
      <c r="AN18" s="1457" t="s">
        <v>352</v>
      </c>
      <c r="AO18" s="1458" t="s">
        <v>353</v>
      </c>
    </row>
    <row r="19" spans="2:41" s="9" customFormat="1" ht="28.4" customHeight="1">
      <c r="B19" s="1952" t="str">
        <f>IF(OR($K$3="Select company",'Validation summary'!$F$3="WoC"),"",IF($C19="","",INDEX(App1data,MATCH($C19,App1IDnrs,0),5)))</f>
        <v>Delivery wastewater resilience enhancement programme</v>
      </c>
      <c r="C19" s="290" t="str">
        <f>IF(OR($K$3="Select company",'Validation summary'!$F$3="WoC"),"",IF(HLOOKUP('3A'!$R$1,BWW_FIN_All,'PC lists'!$B63,0)="","",HLOOKUP('3A'!$R$1,BWW_FIN_All,'PC lists'!$B63,0)))</f>
        <v>PR19NES_BES27</v>
      </c>
      <c r="D19" s="1953" t="str">
        <f t="shared" si="4"/>
        <v>nr</v>
      </c>
      <c r="E19" s="1953">
        <f t="shared" si="5"/>
        <v>0</v>
      </c>
      <c r="F19" s="1822">
        <v>132</v>
      </c>
      <c r="G19" s="1822" t="s">
        <v>961</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0"/>
      <c r="J19" s="1356"/>
      <c r="K19" s="292" t="s">
        <v>354</v>
      </c>
      <c r="L19" s="1356"/>
      <c r="M19" s="326" t="str">
        <f t="shared" si="6"/>
        <v>Please complete all cells in the row</v>
      </c>
      <c r="N19" s="326">
        <f t="shared" si="12"/>
        <v>0</v>
      </c>
      <c r="O19" s="1356"/>
      <c r="P19" s="1356"/>
      <c r="Q19" s="1356"/>
      <c r="R19" s="1356"/>
      <c r="S19" s="1356"/>
      <c r="T19" s="1356"/>
      <c r="U19" s="320"/>
      <c r="V19" s="325"/>
      <c r="W19" s="325">
        <f t="shared" si="7"/>
        <v>0</v>
      </c>
      <c r="X19" s="325">
        <f t="shared" si="8"/>
        <v>0</v>
      </c>
      <c r="Y19" s="325"/>
      <c r="Z19" s="325">
        <f t="shared" si="9"/>
        <v>1</v>
      </c>
      <c r="AA19" s="320"/>
      <c r="AB19" s="16"/>
      <c r="AC19" s="16"/>
      <c r="AD19" s="329">
        <f t="shared" si="10"/>
        <v>0</v>
      </c>
      <c r="AE19" s="329">
        <f t="shared" si="13"/>
        <v>0</v>
      </c>
      <c r="AF19" s="320"/>
      <c r="AG19" s="1356"/>
      <c r="AH19" s="288" t="str">
        <f t="shared" si="11"/>
        <v>Delivery wastewater resilience enhancement programme</v>
      </c>
      <c r="AI19" s="288" t="str">
        <f t="shared" si="11"/>
        <v>PR19NES_BES27</v>
      </c>
      <c r="AJ19" s="288" t="str">
        <f t="shared" si="11"/>
        <v>nr</v>
      </c>
      <c r="AK19" s="288">
        <f t="shared" si="11"/>
        <v>0</v>
      </c>
      <c r="AL19" s="1457" t="s">
        <v>355</v>
      </c>
      <c r="AM19" s="1457" t="s">
        <v>356</v>
      </c>
      <c r="AN19" s="1457" t="s">
        <v>357</v>
      </c>
      <c r="AO19" s="1458" t="s">
        <v>358</v>
      </c>
    </row>
    <row r="20" spans="2:41" s="9" customFormat="1" ht="28.4" customHeight="1">
      <c r="B20" s="288" t="str">
        <f>IF(OR($K$3="Select company",'Validation summary'!$F$3="WoC"),"",IF($C20="","",INDEX(App1data,MATCH($C20,App1IDnrs,0),5)))</f>
        <v>Water Industry National Environment Programme</v>
      </c>
      <c r="C20" s="293" t="str">
        <f>IF(OR($K$3="Select company",'Validation summary'!$F$3="WoC"),"",IF(HLOOKUP('3A'!$R$1,BWW_FIN_All,'PC lists'!$B64,0)="","",HLOOKUP('3A'!$R$1,BWW_FIN_All,'PC lists'!$B64,0)))</f>
        <v>PR19NES_BES31</v>
      </c>
      <c r="D20" s="293" t="str">
        <f t="shared" si="4"/>
        <v>nr</v>
      </c>
      <c r="E20" s="293">
        <f t="shared" si="5"/>
        <v>0</v>
      </c>
      <c r="F20" s="1822">
        <v>535</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0"/>
      <c r="J20" s="1356"/>
      <c r="K20" s="292" t="s">
        <v>359</v>
      </c>
      <c r="L20" s="1356"/>
      <c r="M20" s="326" t="str">
        <f t="shared" si="6"/>
        <v>Please complete all cells in the row</v>
      </c>
      <c r="N20" s="326">
        <f t="shared" si="12"/>
        <v>0</v>
      </c>
      <c r="O20" s="1356"/>
      <c r="P20" s="1356"/>
      <c r="Q20" s="1356"/>
      <c r="R20" s="1356"/>
      <c r="S20" s="1356"/>
      <c r="T20" s="1356"/>
      <c r="U20" s="320"/>
      <c r="V20" s="325"/>
      <c r="W20" s="325">
        <f t="shared" si="7"/>
        <v>0</v>
      </c>
      <c r="X20" s="325">
        <f t="shared" si="8"/>
        <v>0</v>
      </c>
      <c r="Y20" s="325"/>
      <c r="Z20" s="325">
        <f t="shared" si="9"/>
        <v>1</v>
      </c>
      <c r="AA20" s="320"/>
      <c r="AB20" s="16"/>
      <c r="AC20" s="16"/>
      <c r="AD20" s="329">
        <f t="shared" si="10"/>
        <v>0</v>
      </c>
      <c r="AE20" s="329">
        <f t="shared" si="13"/>
        <v>0</v>
      </c>
      <c r="AF20" s="320"/>
      <c r="AG20" s="1356"/>
      <c r="AH20" s="288" t="str">
        <f t="shared" si="11"/>
        <v>Water Industry National Environment Programme</v>
      </c>
      <c r="AI20" s="288" t="str">
        <f t="shared" si="11"/>
        <v>PR19NES_BES31</v>
      </c>
      <c r="AJ20" s="288" t="str">
        <f t="shared" si="11"/>
        <v>nr</v>
      </c>
      <c r="AK20" s="288">
        <f t="shared" si="11"/>
        <v>0</v>
      </c>
      <c r="AL20" s="1457" t="s">
        <v>360</v>
      </c>
      <c r="AM20" s="1457" t="s">
        <v>361</v>
      </c>
      <c r="AN20" s="1457" t="s">
        <v>362</v>
      </c>
      <c r="AO20" s="1458" t="s">
        <v>363</v>
      </c>
    </row>
    <row r="21" spans="2:41" s="9" customFormat="1" ht="28.4" customHeight="1">
      <c r="B21" s="288" t="str">
        <f>IF(OR($K$3="Select company",'Validation summary'!$F$3="WoC"),"",IF($C21="","",INDEX(App1data,MATCH($C21,App1IDnrs,0),5)))</f>
        <v>Delivery of Howdon STW enhancement</v>
      </c>
      <c r="C21" s="293" t="str">
        <f>IF(OR($K$3="Select company",'Validation summary'!$F$3="WoC"),"",IF(HLOOKUP('3A'!$R$1,BWW_FIN_All,'PC lists'!$B65,0)="","",HLOOKUP('3A'!$R$1,BWW_FIN_All,'PC lists'!$B65,0)))</f>
        <v>PR19NES_BES29</v>
      </c>
      <c r="D21" s="293" t="str">
        <f t="shared" si="4"/>
        <v>months</v>
      </c>
      <c r="E21" s="293">
        <f t="shared" si="5"/>
        <v>0</v>
      </c>
      <c r="F21" s="1822">
        <v>0</v>
      </c>
      <c r="G21" s="1822" t="s">
        <v>961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0"/>
      <c r="J21" s="1356"/>
      <c r="K21" s="292" t="s">
        <v>364</v>
      </c>
      <c r="L21" s="1356"/>
      <c r="M21" s="326" t="str">
        <f t="shared" si="6"/>
        <v>Please complete all cells in the row</v>
      </c>
      <c r="N21" s="326">
        <f t="shared" si="12"/>
        <v>0</v>
      </c>
      <c r="O21" s="1356"/>
      <c r="P21" s="1356"/>
      <c r="Q21" s="1356"/>
      <c r="R21" s="1356"/>
      <c r="S21" s="1356"/>
      <c r="T21" s="1356"/>
      <c r="U21" s="320"/>
      <c r="V21" s="325"/>
      <c r="W21" s="325">
        <f t="shared" si="7"/>
        <v>0</v>
      </c>
      <c r="X21" s="325">
        <f t="shared" si="8"/>
        <v>0</v>
      </c>
      <c r="Y21" s="325"/>
      <c r="Z21" s="325">
        <f t="shared" si="9"/>
        <v>1</v>
      </c>
      <c r="AA21" s="320"/>
      <c r="AB21" s="16"/>
      <c r="AC21" s="16"/>
      <c r="AD21" s="329">
        <f t="shared" si="10"/>
        <v>0</v>
      </c>
      <c r="AE21" s="329">
        <f t="shared" si="13"/>
        <v>0</v>
      </c>
      <c r="AF21" s="320"/>
      <c r="AG21" s="1356"/>
      <c r="AH21" s="288" t="str">
        <f t="shared" si="11"/>
        <v>Delivery of Howdon STW enhancement</v>
      </c>
      <c r="AI21" s="288" t="str">
        <f t="shared" si="11"/>
        <v>PR19NES_BES29</v>
      </c>
      <c r="AJ21" s="288" t="str">
        <f t="shared" si="11"/>
        <v>months</v>
      </c>
      <c r="AK21" s="288">
        <f t="shared" si="11"/>
        <v>0</v>
      </c>
      <c r="AL21" s="1457" t="s">
        <v>365</v>
      </c>
      <c r="AM21" s="1457" t="s">
        <v>366</v>
      </c>
      <c r="AN21" s="1457" t="s">
        <v>367</v>
      </c>
      <c r="AO21" s="1458" t="s">
        <v>368</v>
      </c>
    </row>
    <row r="22" spans="2:41" s="9" customFormat="1" ht="28.4"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369</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370</v>
      </c>
      <c r="AM22" s="1457" t="s">
        <v>371</v>
      </c>
      <c r="AN22" s="1457" t="s">
        <v>372</v>
      </c>
      <c r="AO22" s="1458" t="s">
        <v>373</v>
      </c>
    </row>
    <row r="23" spans="2:41" s="9" customFormat="1" ht="28.4"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374</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375</v>
      </c>
      <c r="AM23" s="1457" t="s">
        <v>376</v>
      </c>
      <c r="AN23" s="1457" t="s">
        <v>377</v>
      </c>
      <c r="AO23" s="1458" t="s">
        <v>378</v>
      </c>
    </row>
    <row r="24" spans="2:41" s="9" customFormat="1" ht="28.4"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379</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380</v>
      </c>
      <c r="AM24" s="1457" t="s">
        <v>381</v>
      </c>
      <c r="AN24" s="1457" t="s">
        <v>382</v>
      </c>
      <c r="AO24" s="1458" t="s">
        <v>383</v>
      </c>
    </row>
    <row r="25" spans="2:41" s="9" customFormat="1" ht="28.4"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384</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385</v>
      </c>
      <c r="AM25" s="1457" t="s">
        <v>386</v>
      </c>
      <c r="AN25" s="1457" t="s">
        <v>387</v>
      </c>
      <c r="AO25" s="1458" t="s">
        <v>388</v>
      </c>
    </row>
    <row r="26" spans="2:41" s="9" customFormat="1" ht="28.4"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389</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390</v>
      </c>
      <c r="AM26" s="1457" t="s">
        <v>391</v>
      </c>
      <c r="AN26" s="1457" t="s">
        <v>392</v>
      </c>
      <c r="AO26" s="1458" t="s">
        <v>393</v>
      </c>
    </row>
    <row r="27" spans="2:41" s="9" customFormat="1" ht="28.4"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394</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395</v>
      </c>
      <c r="AM27" s="1457" t="s">
        <v>396</v>
      </c>
      <c r="AN27" s="1457" t="s">
        <v>397</v>
      </c>
      <c r="AO27" s="1458" t="s">
        <v>398</v>
      </c>
    </row>
    <row r="28" spans="2:41" s="9" customFormat="1" ht="28.4"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399</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400</v>
      </c>
      <c r="AM28" s="1457" t="s">
        <v>401</v>
      </c>
      <c r="AN28" s="1457" t="s">
        <v>402</v>
      </c>
      <c r="AO28" s="1458" t="s">
        <v>403</v>
      </c>
    </row>
    <row r="29" spans="2:41" s="9" customFormat="1" ht="15.5">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404</v>
      </c>
      <c r="C30" s="348"/>
      <c r="D30" s="293" t="s">
        <v>293</v>
      </c>
      <c r="E30" s="293">
        <v>0</v>
      </c>
      <c r="F30" s="362"/>
      <c r="G30" s="1832">
        <f>IFERROR(IF('Validation summary'!F3="Woc","",(COUNTIF($G$9:$G$28,"Yes")/(COUNTA($G$9:$G$28) - COUNTIF($G$9:$G$28,"-")))*100),"")</f>
        <v>81.818181818181827</v>
      </c>
      <c r="H30" s="346"/>
      <c r="I30" s="347"/>
      <c r="J30" s="16"/>
      <c r="K30" s="292" t="s">
        <v>405</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404</v>
      </c>
      <c r="AI30" s="348"/>
      <c r="AJ30" s="293" t="s">
        <v>293</v>
      </c>
      <c r="AK30" s="293">
        <v>0</v>
      </c>
      <c r="AL30" s="1356"/>
      <c r="AM30" s="1459" t="s">
        <v>406</v>
      </c>
      <c r="AN30" s="346"/>
      <c r="AO30" s="347"/>
    </row>
    <row r="31" spans="2:41" s="9" customFormat="1" ht="14.5">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5">
      <c r="B32" s="276" t="s">
        <v>299</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5">
      <c r="U33" s="322"/>
      <c r="V33" s="334"/>
      <c r="W33" s="334"/>
      <c r="X33" s="334"/>
      <c r="Y33" s="334"/>
      <c r="Z33" s="334"/>
      <c r="AA33" s="322"/>
      <c r="AB33" s="322"/>
      <c r="AC33" s="322"/>
      <c r="AD33" s="335"/>
      <c r="AE33" s="322"/>
      <c r="AF33" s="322"/>
    </row>
    <row r="34" spans="2:32" ht="15.5">
      <c r="B34" s="1818" t="s">
        <v>300</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968" t="s">
        <v>301</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819" t="s">
        <v>302</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820" t="s">
        <v>303</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2067" t="s">
        <v>116</v>
      </c>
      <c r="D1" s="6"/>
      <c r="E1" s="6"/>
      <c r="J1" s="1970" t="str">
        <f>'Validation summary'!$B$2</f>
        <v>2023-24</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Northumbrian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407</v>
      </c>
      <c r="C5" s="2135" t="s">
        <v>131</v>
      </c>
      <c r="D5" s="2135" t="s">
        <v>408</v>
      </c>
      <c r="E5" s="281"/>
      <c r="F5" s="2135" t="s">
        <v>137</v>
      </c>
      <c r="I5" s="331" t="s">
        <v>138</v>
      </c>
      <c r="J5" s="331" t="s">
        <v>139</v>
      </c>
      <c r="O5" s="1357"/>
      <c r="P5" s="324"/>
      <c r="Q5" s="324"/>
      <c r="R5" s="324"/>
      <c r="S5" s="324"/>
      <c r="T5" s="324"/>
      <c r="U5" s="328"/>
      <c r="V5" s="324"/>
      <c r="W5" s="324"/>
      <c r="X5" s="324"/>
      <c r="Y5" s="324"/>
      <c r="Z5" s="324"/>
      <c r="AA5" s="1357"/>
      <c r="AC5" s="2135" t="s">
        <v>407</v>
      </c>
      <c r="AD5" s="2135" t="s">
        <v>131</v>
      </c>
      <c r="AE5" s="2135" t="s">
        <v>408</v>
      </c>
    </row>
    <row r="6" spans="2:31" s="18" customFormat="1" ht="28.5" customHeight="1">
      <c r="B6" s="288" t="s">
        <v>409</v>
      </c>
      <c r="C6" s="293" t="s">
        <v>410</v>
      </c>
      <c r="D6" s="2071"/>
      <c r="E6" s="1356"/>
      <c r="F6" s="292" t="s">
        <v>411</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412</v>
      </c>
      <c r="C7" s="293" t="s">
        <v>410</v>
      </c>
      <c r="D7" s="2071"/>
      <c r="E7" s="1356"/>
      <c r="F7" s="292" t="s">
        <v>413</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414</v>
      </c>
      <c r="C8" s="293" t="s">
        <v>410</v>
      </c>
      <c r="D8" s="2071"/>
      <c r="E8" s="1356"/>
      <c r="F8" s="292" t="s">
        <v>415</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416</v>
      </c>
      <c r="C9" s="293" t="s">
        <v>410</v>
      </c>
      <c r="D9" s="2071"/>
      <c r="E9" s="1356"/>
      <c r="F9" s="292" t="s">
        <v>417</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418</v>
      </c>
      <c r="C10" s="293" t="s">
        <v>410</v>
      </c>
      <c r="D10" s="2072"/>
      <c r="E10" s="1356"/>
      <c r="F10" s="292" t="s">
        <v>419</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420</v>
      </c>
      <c r="C11" s="293" t="s">
        <v>410</v>
      </c>
      <c r="D11" s="2073"/>
      <c r="E11" s="1356"/>
      <c r="F11" s="292" t="s">
        <v>421</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422</v>
      </c>
      <c r="C12" s="293" t="s">
        <v>410</v>
      </c>
      <c r="D12" s="2074"/>
      <c r="E12" s="1356"/>
      <c r="F12" s="292" t="s">
        <v>423</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424</v>
      </c>
      <c r="C13" s="302" t="s">
        <v>425</v>
      </c>
      <c r="D13" s="2074"/>
      <c r="E13" s="1356"/>
      <c r="F13" s="292" t="s">
        <v>426</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299</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300</v>
      </c>
      <c r="C17" s="8"/>
      <c r="D17" s="8"/>
      <c r="E17" s="8"/>
      <c r="F17" s="8"/>
      <c r="G17" s="8"/>
      <c r="H17" s="8"/>
      <c r="I17" s="8"/>
      <c r="J17" s="8"/>
      <c r="K17" s="8"/>
      <c r="L17" s="8"/>
    </row>
    <row r="18" spans="2:12">
      <c r="B18" s="371"/>
      <c r="C18" s="8"/>
      <c r="D18" s="8"/>
      <c r="E18" s="8"/>
      <c r="F18" s="8"/>
      <c r="G18" s="8"/>
      <c r="H18" s="8"/>
      <c r="I18" s="8"/>
      <c r="J18" s="8"/>
      <c r="K18" s="8"/>
      <c r="L18" s="8"/>
    </row>
    <row r="19" spans="2:12">
      <c r="B19" s="1968" t="s">
        <v>301</v>
      </c>
      <c r="C19" s="8"/>
      <c r="D19" s="8"/>
      <c r="E19" s="8"/>
      <c r="F19" s="8"/>
      <c r="G19" s="8"/>
      <c r="H19" s="8"/>
      <c r="I19" s="8"/>
      <c r="J19" s="8"/>
      <c r="K19" s="8"/>
      <c r="L19" s="8"/>
    </row>
    <row r="20" spans="2:12">
      <c r="B20" s="8"/>
      <c r="C20" s="8"/>
      <c r="D20" s="8"/>
      <c r="E20" s="8"/>
      <c r="F20" s="8"/>
      <c r="G20" s="8"/>
      <c r="H20" s="8"/>
      <c r="I20" s="8"/>
      <c r="J20" s="8"/>
      <c r="K20" s="8"/>
      <c r="L20" s="8"/>
    </row>
    <row r="21" spans="2:12">
      <c r="B21" s="1819" t="s">
        <v>302</v>
      </c>
      <c r="C21" s="8"/>
      <c r="D21" s="8"/>
      <c r="E21" s="8"/>
      <c r="F21" s="8"/>
      <c r="G21" s="8"/>
      <c r="H21" s="8"/>
      <c r="I21" s="8"/>
      <c r="J21" s="8"/>
      <c r="K21" s="8"/>
      <c r="L21" s="8"/>
    </row>
    <row r="22" spans="2:12">
      <c r="B22" s="8"/>
      <c r="C22" s="8"/>
      <c r="D22" s="8"/>
      <c r="E22" s="8"/>
      <c r="F22" s="8"/>
      <c r="G22" s="8"/>
      <c r="H22" s="8"/>
      <c r="I22" s="8"/>
      <c r="J22" s="8"/>
      <c r="K22" s="8"/>
      <c r="L22" s="8"/>
    </row>
    <row r="23" spans="2:12">
      <c r="B23" s="1820"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2067" t="s">
        <v>116</v>
      </c>
      <c r="D1" s="6"/>
      <c r="E1" s="6"/>
      <c r="F1" s="6"/>
      <c r="J1" s="1970" t="str">
        <f>'Validation summary'!$B$2</f>
        <v>2023-24</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Northumbrian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407</v>
      </c>
      <c r="C5" s="2135" t="s">
        <v>131</v>
      </c>
      <c r="D5" s="2135" t="s">
        <v>408</v>
      </c>
      <c r="E5" s="281"/>
      <c r="F5" s="281"/>
      <c r="G5" s="2135" t="s">
        <v>137</v>
      </c>
      <c r="I5" s="331" t="s">
        <v>138</v>
      </c>
      <c r="J5" s="331" t="s">
        <v>139</v>
      </c>
      <c r="N5" s="1357"/>
      <c r="O5" s="324"/>
      <c r="P5" s="324"/>
      <c r="Q5" s="324"/>
      <c r="R5" s="324"/>
      <c r="S5" s="324"/>
      <c r="T5" s="328"/>
      <c r="U5" s="324"/>
      <c r="V5" s="324"/>
      <c r="W5" s="324"/>
      <c r="X5" s="324"/>
      <c r="Y5" s="324"/>
      <c r="Z5" s="1357"/>
      <c r="AB5" s="2135" t="s">
        <v>407</v>
      </c>
      <c r="AC5" s="2135" t="s">
        <v>131</v>
      </c>
      <c r="AD5" s="2137" t="s">
        <v>408</v>
      </c>
    </row>
    <row r="6" spans="2:30" s="18" customFormat="1" ht="21" customHeight="1">
      <c r="B6" s="288" t="s">
        <v>427</v>
      </c>
      <c r="C6" s="293" t="s">
        <v>410</v>
      </c>
      <c r="D6" s="2071"/>
      <c r="F6" s="1356"/>
      <c r="G6" s="292" t="s">
        <v>428</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429</v>
      </c>
      <c r="C7" s="293" t="s">
        <v>410</v>
      </c>
      <c r="D7" s="2071"/>
      <c r="F7" s="1356"/>
      <c r="G7" s="292" t="s">
        <v>430</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431</v>
      </c>
      <c r="C8" s="293" t="s">
        <v>410</v>
      </c>
      <c r="D8" s="2076"/>
      <c r="F8" s="1356"/>
      <c r="G8" s="292" t="s">
        <v>432</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433</v>
      </c>
      <c r="C9" s="372" t="s">
        <v>141</v>
      </c>
      <c r="D9" s="2074"/>
      <c r="F9" s="1356"/>
      <c r="G9" s="292" t="s">
        <v>434</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435</v>
      </c>
      <c r="C10" s="372" t="s">
        <v>141</v>
      </c>
      <c r="D10" s="2074"/>
      <c r="F10" s="1356"/>
      <c r="G10" s="292" t="s">
        <v>436</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c r="B12" s="310" t="s">
        <v>437</v>
      </c>
      <c r="N12" s="1357"/>
      <c r="O12" s="324"/>
      <c r="P12" s="324"/>
      <c r="Q12" s="324"/>
      <c r="R12" s="324"/>
      <c r="S12" s="324"/>
      <c r="T12" s="328"/>
      <c r="U12" s="324"/>
      <c r="V12" s="324"/>
      <c r="W12" s="324"/>
      <c r="X12" s="324"/>
      <c r="Y12" s="324"/>
      <c r="Z12" s="1357"/>
    </row>
    <row r="13" spans="2:30" s="18" customFormat="1" ht="39">
      <c r="B13" s="2135" t="s">
        <v>438</v>
      </c>
      <c r="C13" s="2135" t="s">
        <v>131</v>
      </c>
      <c r="D13" s="2135" t="s">
        <v>439</v>
      </c>
      <c r="E13" s="2135" t="s">
        <v>440</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293</v>
      </c>
      <c r="D14" s="2078"/>
      <c r="G14" s="292" t="s">
        <v>441</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293</v>
      </c>
      <c r="D15" s="2078"/>
      <c r="G15" s="292" t="s">
        <v>442</v>
      </c>
      <c r="I15" s="2059"/>
      <c r="J15" s="2059"/>
      <c r="N15" s="1357"/>
      <c r="O15" s="325"/>
      <c r="P15" s="325"/>
      <c r="Q15" s="325"/>
      <c r="R15" s="325"/>
      <c r="S15" s="325"/>
      <c r="T15" s="1357"/>
      <c r="V15" s="329"/>
      <c r="W15" s="335"/>
      <c r="X15" s="329"/>
      <c r="Y15" s="1356"/>
      <c r="Z15" s="1357"/>
    </row>
    <row r="16" spans="2:30" s="18" customFormat="1" ht="21" customHeight="1">
      <c r="B16" s="2077"/>
      <c r="C16" s="302" t="s">
        <v>293</v>
      </c>
      <c r="D16" s="2078"/>
      <c r="G16" s="292" t="s">
        <v>443</v>
      </c>
      <c r="I16" s="2059"/>
      <c r="J16" s="2059"/>
      <c r="N16" s="1357"/>
      <c r="O16" s="325"/>
      <c r="P16" s="325"/>
      <c r="Q16" s="325"/>
      <c r="R16" s="325"/>
      <c r="S16" s="325"/>
      <c r="T16" s="1357"/>
      <c r="V16" s="329"/>
      <c r="W16" s="335"/>
      <c r="X16" s="329"/>
      <c r="Y16" s="1356"/>
      <c r="Z16" s="1357"/>
    </row>
    <row r="17" spans="2:26" s="18" customFormat="1" ht="21" customHeight="1">
      <c r="B17" s="2077"/>
      <c r="C17" s="302" t="s">
        <v>293</v>
      </c>
      <c r="D17" s="2078"/>
      <c r="G17" s="292" t="s">
        <v>444</v>
      </c>
      <c r="I17" s="2059"/>
      <c r="J17" s="2059"/>
      <c r="N17" s="1357"/>
      <c r="O17" s="325"/>
      <c r="P17" s="325"/>
      <c r="Q17" s="325"/>
      <c r="R17" s="325"/>
      <c r="S17" s="325"/>
      <c r="T17" s="1357"/>
      <c r="V17" s="329"/>
      <c r="W17" s="335"/>
      <c r="X17" s="329"/>
      <c r="Y17" s="1356"/>
      <c r="Z17" s="1357"/>
    </row>
    <row r="18" spans="2:26" s="18" customFormat="1" ht="21" customHeight="1">
      <c r="B18" s="2077"/>
      <c r="C18" s="302" t="s">
        <v>293</v>
      </c>
      <c r="D18" s="2078"/>
      <c r="G18" s="292" t="s">
        <v>445</v>
      </c>
      <c r="I18" s="2059"/>
      <c r="J18" s="2059"/>
      <c r="N18" s="1357"/>
      <c r="O18" s="325"/>
      <c r="P18" s="325"/>
      <c r="Q18" s="325"/>
      <c r="R18" s="325"/>
      <c r="S18" s="325"/>
      <c r="T18" s="1357"/>
      <c r="V18" s="329"/>
      <c r="W18" s="335"/>
      <c r="X18" s="329"/>
      <c r="Y18" s="1356"/>
      <c r="Z18" s="1357"/>
    </row>
    <row r="19" spans="2:26" s="18" customFormat="1" ht="21" customHeight="1">
      <c r="B19" s="2077"/>
      <c r="C19" s="302" t="s">
        <v>293</v>
      </c>
      <c r="D19" s="2078"/>
      <c r="G19" s="292" t="s">
        <v>446</v>
      </c>
      <c r="I19" s="2059"/>
      <c r="J19" s="2059"/>
      <c r="N19" s="1357"/>
      <c r="O19" s="325"/>
      <c r="P19" s="325"/>
      <c r="Q19" s="325"/>
      <c r="R19" s="325"/>
      <c r="S19" s="325"/>
      <c r="T19" s="1357"/>
      <c r="V19" s="329"/>
      <c r="W19" s="335"/>
      <c r="X19" s="329"/>
      <c r="Y19" s="1356"/>
      <c r="Z19" s="1357"/>
    </row>
    <row r="20" spans="2:26" s="18" customFormat="1" ht="21" customHeight="1">
      <c r="B20" s="2077"/>
      <c r="C20" s="302" t="s">
        <v>293</v>
      </c>
      <c r="D20" s="2078"/>
      <c r="G20" s="292" t="s">
        <v>447</v>
      </c>
      <c r="I20" s="2059"/>
      <c r="J20" s="2059"/>
      <c r="N20" s="1357"/>
      <c r="O20" s="325"/>
      <c r="P20" s="325"/>
      <c r="Q20" s="325"/>
      <c r="R20" s="325"/>
      <c r="S20" s="325"/>
      <c r="T20" s="1357"/>
      <c r="V20" s="329"/>
      <c r="W20" s="335"/>
      <c r="X20" s="329"/>
      <c r="Y20" s="1356"/>
      <c r="Z20" s="1357"/>
    </row>
    <row r="21" spans="2:26" s="18" customFormat="1" ht="21" customHeight="1">
      <c r="B21" s="2077"/>
      <c r="C21" s="302" t="s">
        <v>293</v>
      </c>
      <c r="D21" s="2078"/>
      <c r="G21" s="292" t="s">
        <v>448</v>
      </c>
      <c r="I21" s="2059"/>
      <c r="J21" s="2059"/>
      <c r="N21" s="1357"/>
      <c r="O21" s="325"/>
      <c r="P21" s="325"/>
      <c r="Q21" s="325"/>
      <c r="R21" s="325"/>
      <c r="S21" s="325"/>
      <c r="T21" s="1357"/>
      <c r="V21" s="329"/>
      <c r="W21" s="335"/>
      <c r="X21" s="329"/>
      <c r="Y21" s="1356"/>
      <c r="Z21" s="1357"/>
    </row>
    <row r="22" spans="2:26" s="18" customFormat="1" ht="21" customHeight="1">
      <c r="B22" s="2077"/>
      <c r="C22" s="302" t="s">
        <v>293</v>
      </c>
      <c r="D22" s="2078"/>
      <c r="G22" s="292" t="s">
        <v>449</v>
      </c>
      <c r="I22" s="2059"/>
      <c r="J22" s="2059"/>
      <c r="N22" s="1357"/>
      <c r="O22" s="325"/>
      <c r="P22" s="325"/>
      <c r="Q22" s="325"/>
      <c r="R22" s="325"/>
      <c r="S22" s="325"/>
      <c r="T22" s="1357"/>
      <c r="V22" s="329"/>
      <c r="W22" s="335"/>
      <c r="X22" s="329"/>
      <c r="Y22" s="1356"/>
      <c r="Z22" s="1357"/>
    </row>
    <row r="23" spans="2:26" s="18" customFormat="1" ht="21" customHeight="1">
      <c r="B23" s="2077"/>
      <c r="C23" s="302" t="s">
        <v>293</v>
      </c>
      <c r="D23" s="2078"/>
      <c r="G23" s="292" t="s">
        <v>450</v>
      </c>
      <c r="I23" s="2059"/>
      <c r="J23" s="2059"/>
      <c r="N23" s="1357"/>
      <c r="O23" s="325"/>
      <c r="P23" s="325"/>
      <c r="Q23" s="325"/>
      <c r="R23" s="325"/>
      <c r="S23" s="325"/>
      <c r="T23" s="1357"/>
      <c r="V23" s="329"/>
      <c r="W23" s="335"/>
      <c r="X23" s="329"/>
      <c r="Y23" s="1356"/>
      <c r="Z23" s="1357"/>
    </row>
    <row r="24" spans="2:26" s="18" customFormat="1" ht="21" customHeight="1">
      <c r="B24" s="2077"/>
      <c r="C24" s="302" t="s">
        <v>293</v>
      </c>
      <c r="D24" s="2078"/>
      <c r="G24" s="292" t="s">
        <v>451</v>
      </c>
      <c r="I24" s="2059"/>
      <c r="J24" s="2059"/>
      <c r="N24" s="1357"/>
      <c r="O24" s="325"/>
      <c r="P24" s="325"/>
      <c r="Q24" s="325"/>
      <c r="R24" s="325"/>
      <c r="S24" s="325"/>
      <c r="T24" s="1357"/>
      <c r="V24" s="329"/>
      <c r="W24" s="335"/>
      <c r="X24" s="329"/>
      <c r="Y24" s="1356"/>
      <c r="Z24" s="1357"/>
    </row>
    <row r="25" spans="2:26" s="18" customFormat="1" ht="21" customHeight="1">
      <c r="B25" s="2077"/>
      <c r="C25" s="302" t="s">
        <v>293</v>
      </c>
      <c r="D25" s="2078"/>
      <c r="G25" s="292" t="s">
        <v>452</v>
      </c>
      <c r="I25" s="2059"/>
      <c r="J25" s="2059"/>
      <c r="N25" s="1357"/>
      <c r="O25" s="325"/>
      <c r="P25" s="325"/>
      <c r="Q25" s="325"/>
      <c r="R25" s="325"/>
      <c r="S25" s="325"/>
      <c r="T25" s="1357"/>
      <c r="V25" s="329"/>
      <c r="W25" s="335"/>
      <c r="X25" s="329"/>
      <c r="Y25" s="1356"/>
      <c r="Z25" s="1357"/>
    </row>
    <row r="26" spans="2:26" s="18" customFormat="1" ht="21" customHeight="1">
      <c r="B26" s="2077"/>
      <c r="C26" s="302" t="s">
        <v>293</v>
      </c>
      <c r="D26" s="2078"/>
      <c r="G26" s="292" t="s">
        <v>453</v>
      </c>
      <c r="I26" s="2059"/>
      <c r="J26" s="2059"/>
      <c r="N26" s="1357"/>
      <c r="O26" s="325"/>
      <c r="P26" s="325"/>
      <c r="Q26" s="325"/>
      <c r="R26" s="325"/>
      <c r="S26" s="325"/>
      <c r="T26" s="1357"/>
      <c r="V26" s="329"/>
      <c r="W26" s="335"/>
      <c r="X26" s="329"/>
      <c r="Y26" s="1356"/>
      <c r="Z26" s="1357"/>
    </row>
    <row r="27" spans="2:26" s="18" customFormat="1" ht="21" customHeight="1">
      <c r="B27" s="2077"/>
      <c r="C27" s="302" t="s">
        <v>293</v>
      </c>
      <c r="D27" s="2078"/>
      <c r="G27" s="292" t="s">
        <v>454</v>
      </c>
      <c r="I27" s="2059"/>
      <c r="J27" s="2059"/>
      <c r="N27" s="1357"/>
      <c r="O27" s="325"/>
      <c r="P27" s="325"/>
      <c r="Q27" s="325"/>
      <c r="R27" s="325"/>
      <c r="S27" s="325"/>
      <c r="T27" s="1357"/>
      <c r="V27" s="329"/>
      <c r="W27" s="335"/>
      <c r="X27" s="329"/>
      <c r="Y27" s="1356"/>
      <c r="Z27" s="1357"/>
    </row>
    <row r="28" spans="2:26" s="18" customFormat="1" ht="21" customHeight="1">
      <c r="B28" s="2077"/>
      <c r="C28" s="302" t="s">
        <v>293</v>
      </c>
      <c r="D28" s="2078"/>
      <c r="G28" s="292" t="s">
        <v>455</v>
      </c>
      <c r="I28" s="2059"/>
      <c r="J28" s="2059"/>
      <c r="N28" s="1357"/>
      <c r="O28" s="325"/>
      <c r="P28" s="325"/>
      <c r="Q28" s="325"/>
      <c r="R28" s="325"/>
      <c r="S28" s="325"/>
      <c r="T28" s="1357"/>
      <c r="V28" s="329"/>
      <c r="W28" s="335"/>
      <c r="X28" s="329"/>
      <c r="Y28" s="1356"/>
      <c r="Z28" s="1357"/>
    </row>
    <row r="29" spans="2:26" s="18" customFormat="1" ht="21" customHeight="1">
      <c r="B29" s="2077"/>
      <c r="C29" s="302" t="s">
        <v>293</v>
      </c>
      <c r="D29" s="2078"/>
      <c r="G29" s="292" t="s">
        <v>456</v>
      </c>
      <c r="I29" s="2059"/>
      <c r="J29" s="2059"/>
      <c r="N29" s="1357"/>
      <c r="O29" s="325"/>
      <c r="P29" s="325"/>
      <c r="Q29" s="325"/>
      <c r="R29" s="325"/>
      <c r="S29" s="325"/>
      <c r="T29" s="1357"/>
      <c r="V29" s="329"/>
      <c r="W29" s="335"/>
      <c r="X29" s="329"/>
      <c r="Y29" s="1356"/>
      <c r="Z29" s="1357"/>
    </row>
    <row r="30" spans="2:26" s="18" customFormat="1" ht="21" customHeight="1">
      <c r="B30" s="2077"/>
      <c r="C30" s="302" t="s">
        <v>293</v>
      </c>
      <c r="D30" s="2078"/>
      <c r="G30" s="292" t="s">
        <v>457</v>
      </c>
      <c r="I30" s="2059"/>
      <c r="J30" s="2059"/>
      <c r="N30" s="1357"/>
      <c r="O30" s="325"/>
      <c r="P30" s="325"/>
      <c r="Q30" s="325"/>
      <c r="R30" s="325"/>
      <c r="S30" s="325"/>
      <c r="T30" s="1357"/>
      <c r="V30" s="329"/>
      <c r="W30" s="335"/>
      <c r="X30" s="329"/>
      <c r="Y30" s="1356"/>
      <c r="Z30" s="1357"/>
    </row>
    <row r="31" spans="2:26" s="18" customFormat="1" ht="21" customHeight="1">
      <c r="B31" s="2077"/>
      <c r="C31" s="302" t="s">
        <v>293</v>
      </c>
      <c r="D31" s="2078"/>
      <c r="G31" s="292" t="s">
        <v>458</v>
      </c>
      <c r="I31" s="2059"/>
      <c r="J31" s="2059"/>
      <c r="N31" s="1357"/>
      <c r="O31" s="325"/>
      <c r="P31" s="325"/>
      <c r="Q31" s="325"/>
      <c r="R31" s="325"/>
      <c r="S31" s="325"/>
      <c r="T31" s="1357"/>
      <c r="V31" s="329"/>
      <c r="W31" s="335"/>
      <c r="X31" s="329"/>
      <c r="Y31" s="1356"/>
      <c r="Z31" s="1357"/>
    </row>
    <row r="32" spans="2:26" s="18" customFormat="1" ht="21" customHeight="1">
      <c r="B32" s="2077"/>
      <c r="C32" s="302" t="s">
        <v>293</v>
      </c>
      <c r="D32" s="2078"/>
      <c r="G32" s="292" t="s">
        <v>459</v>
      </c>
      <c r="I32" s="2059"/>
      <c r="J32" s="2059"/>
      <c r="N32" s="1357"/>
      <c r="O32" s="325"/>
      <c r="P32" s="325"/>
      <c r="Q32" s="325"/>
      <c r="R32" s="325"/>
      <c r="S32" s="325"/>
      <c r="T32" s="1357"/>
      <c r="V32" s="329"/>
      <c r="W32" s="335"/>
      <c r="X32" s="329"/>
      <c r="Y32" s="1356"/>
      <c r="Z32" s="1357"/>
    </row>
    <row r="33" spans="2:26" s="18" customFormat="1" ht="21" customHeight="1">
      <c r="B33" s="2077"/>
      <c r="C33" s="302" t="s">
        <v>293</v>
      </c>
      <c r="D33" s="2078"/>
      <c r="G33" s="292" t="s">
        <v>460</v>
      </c>
      <c r="I33" s="2059"/>
      <c r="J33" s="2059"/>
      <c r="N33" s="1357"/>
      <c r="O33" s="325"/>
      <c r="P33" s="325"/>
      <c r="Q33" s="325"/>
      <c r="R33" s="325"/>
      <c r="S33" s="325"/>
      <c r="T33" s="1357"/>
      <c r="V33" s="329"/>
      <c r="W33" s="335"/>
      <c r="X33" s="329"/>
      <c r="Y33" s="1356"/>
      <c r="Z33" s="1357"/>
    </row>
    <row r="34" spans="2:26" s="18" customFormat="1" ht="21" customHeight="1">
      <c r="B34" s="2077"/>
      <c r="C34" s="302" t="s">
        <v>293</v>
      </c>
      <c r="D34" s="2078"/>
      <c r="G34" s="292" t="s">
        <v>461</v>
      </c>
      <c r="I34" s="2059"/>
      <c r="J34" s="2059"/>
      <c r="N34" s="1357"/>
      <c r="O34" s="325"/>
      <c r="P34" s="325"/>
      <c r="Q34" s="325"/>
      <c r="R34" s="325"/>
      <c r="S34" s="325"/>
      <c r="T34" s="1357"/>
      <c r="V34" s="329"/>
      <c r="W34" s="335"/>
      <c r="X34" s="329"/>
      <c r="Y34" s="1356"/>
      <c r="Z34" s="1357"/>
    </row>
    <row r="35" spans="2:26" s="18" customFormat="1" ht="21" customHeight="1">
      <c r="B35" s="2077"/>
      <c r="C35" s="302" t="s">
        <v>293</v>
      </c>
      <c r="D35" s="2078"/>
      <c r="G35" s="292" t="s">
        <v>462</v>
      </c>
      <c r="I35" s="2059"/>
      <c r="J35" s="2059"/>
      <c r="N35" s="1357"/>
      <c r="O35" s="325"/>
      <c r="P35" s="325"/>
      <c r="Q35" s="325"/>
      <c r="R35" s="325"/>
      <c r="S35" s="325"/>
      <c r="T35" s="1357"/>
      <c r="V35" s="329"/>
      <c r="W35" s="335"/>
      <c r="X35" s="329"/>
      <c r="Y35" s="1356"/>
      <c r="Z35" s="1357"/>
    </row>
    <row r="36" spans="2:26" s="18" customFormat="1" ht="21" customHeight="1">
      <c r="B36" s="2077"/>
      <c r="C36" s="302" t="s">
        <v>293</v>
      </c>
      <c r="D36" s="2078"/>
      <c r="G36" s="292" t="s">
        <v>463</v>
      </c>
      <c r="I36" s="2059"/>
      <c r="J36" s="2059"/>
      <c r="N36" s="1357"/>
      <c r="O36" s="325"/>
      <c r="P36" s="325"/>
      <c r="Q36" s="325"/>
      <c r="R36" s="325"/>
      <c r="S36" s="325"/>
      <c r="T36" s="1357"/>
      <c r="V36" s="329"/>
      <c r="W36" s="335"/>
      <c r="X36" s="329"/>
      <c r="Y36" s="1356"/>
      <c r="Z36" s="1357"/>
    </row>
    <row r="37" spans="2:26" s="18" customFormat="1" ht="21" customHeight="1">
      <c r="B37" s="2077"/>
      <c r="C37" s="302" t="s">
        <v>293</v>
      </c>
      <c r="D37" s="2078"/>
      <c r="G37" s="292" t="s">
        <v>464</v>
      </c>
      <c r="I37" s="2059"/>
      <c r="J37" s="2059"/>
      <c r="N37" s="1357"/>
      <c r="O37" s="325"/>
      <c r="P37" s="325"/>
      <c r="Q37" s="325"/>
      <c r="R37" s="325"/>
      <c r="S37" s="325"/>
      <c r="T37" s="1357"/>
      <c r="V37" s="329"/>
      <c r="W37" s="335"/>
      <c r="X37" s="329"/>
      <c r="Y37" s="1356"/>
      <c r="Z37" s="1357"/>
    </row>
    <row r="38" spans="2:26" s="18" customFormat="1" ht="21" customHeight="1">
      <c r="B38" s="2077"/>
      <c r="C38" s="302" t="s">
        <v>293</v>
      </c>
      <c r="D38" s="2078"/>
      <c r="G38" s="292" t="s">
        <v>465</v>
      </c>
      <c r="I38" s="2059"/>
      <c r="J38" s="2059"/>
      <c r="N38" s="1357"/>
      <c r="O38" s="325"/>
      <c r="P38" s="325"/>
      <c r="Q38" s="325"/>
      <c r="R38" s="325"/>
      <c r="S38" s="325"/>
      <c r="T38" s="1357"/>
      <c r="V38" s="329"/>
      <c r="W38" s="335"/>
      <c r="X38" s="329"/>
      <c r="Y38" s="1356"/>
      <c r="Z38" s="1357"/>
    </row>
    <row r="39" spans="2:26" s="18" customFormat="1" ht="21" customHeight="1">
      <c r="B39" s="2077"/>
      <c r="C39" s="302" t="s">
        <v>293</v>
      </c>
      <c r="D39" s="2078"/>
      <c r="G39" s="292" t="s">
        <v>466</v>
      </c>
      <c r="I39" s="2059"/>
      <c r="J39" s="2059"/>
      <c r="N39" s="1357"/>
      <c r="O39" s="325"/>
      <c r="P39" s="325"/>
      <c r="Q39" s="325"/>
      <c r="R39" s="325"/>
      <c r="S39" s="325"/>
      <c r="T39" s="1357"/>
      <c r="V39" s="329"/>
      <c r="W39" s="335"/>
      <c r="X39" s="329"/>
      <c r="Y39" s="1356"/>
      <c r="Z39" s="1357"/>
    </row>
    <row r="40" spans="2:26" s="18" customFormat="1" ht="21" customHeight="1">
      <c r="B40" s="2077"/>
      <c r="C40" s="302" t="s">
        <v>293</v>
      </c>
      <c r="D40" s="2078"/>
      <c r="G40" s="292" t="s">
        <v>467</v>
      </c>
      <c r="I40" s="2059"/>
      <c r="J40" s="2059"/>
      <c r="N40" s="1357"/>
      <c r="O40" s="325"/>
      <c r="P40" s="325"/>
      <c r="Q40" s="325"/>
      <c r="R40" s="325"/>
      <c r="S40" s="325"/>
      <c r="T40" s="1357"/>
      <c r="V40" s="329"/>
      <c r="W40" s="335"/>
      <c r="X40" s="329"/>
      <c r="Y40" s="1356"/>
      <c r="Z40" s="1357"/>
    </row>
    <row r="41" spans="2:26" s="18" customFormat="1" ht="21" customHeight="1">
      <c r="B41" s="2077"/>
      <c r="C41" s="302" t="s">
        <v>293</v>
      </c>
      <c r="D41" s="2078"/>
      <c r="G41" s="292" t="s">
        <v>468</v>
      </c>
      <c r="I41" s="2059"/>
      <c r="J41" s="2059"/>
      <c r="N41" s="1357"/>
      <c r="O41" s="325"/>
      <c r="P41" s="325"/>
      <c r="Q41" s="325"/>
      <c r="R41" s="325"/>
      <c r="S41" s="325"/>
      <c r="T41" s="1357"/>
      <c r="V41" s="329"/>
      <c r="W41" s="335"/>
      <c r="X41" s="329"/>
      <c r="Y41" s="1356"/>
      <c r="Z41" s="1357"/>
    </row>
    <row r="42" spans="2:26" s="18" customFormat="1" ht="21" customHeight="1">
      <c r="B42" s="2077"/>
      <c r="C42" s="302" t="s">
        <v>293</v>
      </c>
      <c r="D42" s="2078"/>
      <c r="G42" s="292" t="s">
        <v>469</v>
      </c>
      <c r="I42" s="2059"/>
      <c r="J42" s="2059"/>
      <c r="N42" s="1357"/>
      <c r="O42" s="325"/>
      <c r="P42" s="325"/>
      <c r="Q42" s="325"/>
      <c r="R42" s="325"/>
      <c r="S42" s="325"/>
      <c r="T42" s="1357"/>
      <c r="V42" s="329"/>
      <c r="W42" s="335"/>
      <c r="X42" s="329"/>
      <c r="Y42" s="1356"/>
      <c r="Z42" s="1357"/>
    </row>
    <row r="43" spans="2:26" s="18" customFormat="1" ht="21" customHeight="1">
      <c r="B43" s="2077"/>
      <c r="C43" s="302" t="s">
        <v>293</v>
      </c>
      <c r="D43" s="2078"/>
      <c r="G43" s="292" t="s">
        <v>470</v>
      </c>
      <c r="I43" s="2059"/>
      <c r="J43" s="2059"/>
      <c r="N43" s="1357"/>
      <c r="O43" s="325"/>
      <c r="P43" s="325"/>
      <c r="Q43" s="325"/>
      <c r="R43" s="325"/>
      <c r="S43" s="325"/>
      <c r="T43" s="1357"/>
      <c r="V43" s="329"/>
      <c r="W43" s="335"/>
      <c r="X43" s="329"/>
      <c r="Y43" s="1356"/>
      <c r="Z43" s="1357"/>
    </row>
    <row r="44" spans="2:26" s="18" customFormat="1" ht="21" customHeight="1">
      <c r="B44" s="2077"/>
      <c r="C44" s="302" t="s">
        <v>293</v>
      </c>
      <c r="D44" s="2078"/>
      <c r="G44" s="292" t="s">
        <v>471</v>
      </c>
      <c r="I44" s="2059"/>
      <c r="J44" s="2059"/>
      <c r="N44" s="1357"/>
      <c r="O44" s="325"/>
      <c r="P44" s="325"/>
      <c r="Q44" s="325"/>
      <c r="R44" s="325"/>
      <c r="S44" s="325"/>
      <c r="T44" s="1357"/>
      <c r="V44" s="329"/>
      <c r="W44" s="335"/>
      <c r="X44" s="329"/>
      <c r="Y44" s="1356"/>
      <c r="Z44" s="1357"/>
    </row>
    <row r="45" spans="2:26" s="18" customFormat="1" ht="21" customHeight="1">
      <c r="B45" s="2077"/>
      <c r="C45" s="302" t="s">
        <v>293</v>
      </c>
      <c r="D45" s="2078"/>
      <c r="G45" s="292" t="s">
        <v>472</v>
      </c>
      <c r="I45" s="2059"/>
      <c r="J45" s="2059"/>
      <c r="N45" s="1357"/>
      <c r="O45" s="325"/>
      <c r="P45" s="325"/>
      <c r="Q45" s="325"/>
      <c r="R45" s="325"/>
      <c r="S45" s="325"/>
      <c r="T45" s="1357"/>
      <c r="V45" s="329"/>
      <c r="W45" s="335"/>
      <c r="X45" s="329"/>
      <c r="Y45" s="1356"/>
      <c r="Z45" s="1357"/>
    </row>
    <row r="46" spans="2:26" s="18" customFormat="1" ht="21" customHeight="1">
      <c r="B46" s="2077"/>
      <c r="C46" s="302" t="s">
        <v>293</v>
      </c>
      <c r="D46" s="2078"/>
      <c r="G46" s="292" t="s">
        <v>473</v>
      </c>
      <c r="I46" s="2059"/>
      <c r="J46" s="2059"/>
      <c r="N46" s="1357"/>
      <c r="O46" s="325"/>
      <c r="P46" s="325"/>
      <c r="Q46" s="325"/>
      <c r="R46" s="325"/>
      <c r="S46" s="325"/>
      <c r="T46" s="1357"/>
      <c r="V46" s="329"/>
      <c r="W46" s="335"/>
      <c r="X46" s="329"/>
      <c r="Y46" s="1356"/>
      <c r="Z46" s="1357"/>
    </row>
    <row r="47" spans="2:26" s="18" customFormat="1" ht="21" customHeight="1">
      <c r="B47" s="2077"/>
      <c r="C47" s="302" t="s">
        <v>293</v>
      </c>
      <c r="D47" s="2078"/>
      <c r="G47" s="292" t="s">
        <v>474</v>
      </c>
      <c r="I47" s="2059"/>
      <c r="J47" s="2059"/>
      <c r="N47" s="1357"/>
      <c r="O47" s="325"/>
      <c r="P47" s="325"/>
      <c r="Q47" s="325"/>
      <c r="R47" s="325"/>
      <c r="S47" s="325"/>
      <c r="T47" s="1357"/>
      <c r="V47" s="329"/>
      <c r="W47" s="335"/>
      <c r="X47" s="329"/>
      <c r="Y47" s="1356"/>
      <c r="Z47" s="1357"/>
    </row>
    <row r="48" spans="2:26" s="18" customFormat="1" ht="21" customHeight="1">
      <c r="B48" s="2077"/>
      <c r="C48" s="302" t="s">
        <v>293</v>
      </c>
      <c r="D48" s="2078"/>
      <c r="G48" s="292" t="s">
        <v>475</v>
      </c>
      <c r="I48" s="2059"/>
      <c r="J48" s="2059"/>
      <c r="N48" s="1357"/>
      <c r="O48" s="325"/>
      <c r="P48" s="325"/>
      <c r="Q48" s="325"/>
      <c r="R48" s="325"/>
      <c r="S48" s="325"/>
      <c r="T48" s="1357"/>
      <c r="V48" s="329"/>
      <c r="W48" s="335"/>
      <c r="X48" s="329"/>
      <c r="Y48" s="1356"/>
      <c r="Z48" s="1357"/>
    </row>
    <row r="49" spans="2:26" s="18" customFormat="1" ht="21" customHeight="1">
      <c r="B49" s="2077"/>
      <c r="C49" s="302" t="s">
        <v>293</v>
      </c>
      <c r="D49" s="2078"/>
      <c r="G49" s="292" t="s">
        <v>476</v>
      </c>
      <c r="I49" s="2059"/>
      <c r="J49" s="2059"/>
      <c r="N49" s="1357"/>
      <c r="O49" s="325"/>
      <c r="P49" s="325"/>
      <c r="Q49" s="325"/>
      <c r="R49" s="325"/>
      <c r="S49" s="325"/>
      <c r="T49" s="1357"/>
      <c r="V49" s="329"/>
      <c r="W49" s="335"/>
      <c r="X49" s="329"/>
      <c r="Y49" s="1356"/>
      <c r="Z49" s="1357"/>
    </row>
    <row r="50" spans="2:26" s="18" customFormat="1" ht="21" customHeight="1">
      <c r="B50" s="2077"/>
      <c r="C50" s="302" t="s">
        <v>293</v>
      </c>
      <c r="D50" s="2078"/>
      <c r="G50" s="292" t="s">
        <v>477</v>
      </c>
      <c r="I50" s="2059"/>
      <c r="J50" s="2059"/>
      <c r="N50" s="1357"/>
      <c r="O50" s="325"/>
      <c r="P50" s="325"/>
      <c r="Q50" s="325"/>
      <c r="R50" s="325"/>
      <c r="S50" s="325"/>
      <c r="T50" s="1357"/>
      <c r="V50" s="329"/>
      <c r="W50" s="335"/>
      <c r="X50" s="329"/>
      <c r="Y50" s="1356"/>
      <c r="Z50" s="1357"/>
    </row>
    <row r="51" spans="2:26" s="18" customFormat="1" ht="21" customHeight="1">
      <c r="B51" s="2077"/>
      <c r="C51" s="302" t="s">
        <v>293</v>
      </c>
      <c r="D51" s="2078"/>
      <c r="G51" s="292" t="s">
        <v>478</v>
      </c>
      <c r="I51" s="2059"/>
      <c r="J51" s="2059"/>
      <c r="N51" s="1357"/>
      <c r="O51" s="325"/>
      <c r="P51" s="325"/>
      <c r="Q51" s="325"/>
      <c r="R51" s="325"/>
      <c r="S51" s="325"/>
      <c r="T51" s="1357"/>
      <c r="V51" s="329"/>
      <c r="W51" s="335"/>
      <c r="X51" s="329"/>
      <c r="Y51" s="1356"/>
      <c r="Z51" s="1357"/>
    </row>
    <row r="52" spans="2:26" s="18" customFormat="1" ht="21" customHeight="1">
      <c r="B52" s="2077"/>
      <c r="C52" s="302" t="s">
        <v>293</v>
      </c>
      <c r="D52" s="2078"/>
      <c r="G52" s="292" t="s">
        <v>479</v>
      </c>
      <c r="I52" s="2059"/>
      <c r="J52" s="2059"/>
      <c r="N52" s="1357"/>
      <c r="O52" s="325"/>
      <c r="P52" s="325"/>
      <c r="Q52" s="325"/>
      <c r="R52" s="325"/>
      <c r="S52" s="325"/>
      <c r="T52" s="1357"/>
      <c r="V52" s="329"/>
      <c r="W52" s="335"/>
      <c r="X52" s="329"/>
      <c r="Y52" s="1356"/>
      <c r="Z52" s="1357"/>
    </row>
    <row r="53" spans="2:26" s="18" customFormat="1" ht="21" customHeight="1">
      <c r="B53" s="2077"/>
      <c r="C53" s="302" t="s">
        <v>293</v>
      </c>
      <c r="D53" s="2078"/>
      <c r="G53" s="292" t="s">
        <v>480</v>
      </c>
      <c r="I53" s="2059"/>
      <c r="J53" s="2059"/>
      <c r="N53" s="1357"/>
      <c r="O53" s="325"/>
      <c r="P53" s="325"/>
      <c r="Q53" s="325"/>
      <c r="R53" s="325"/>
      <c r="S53" s="325"/>
      <c r="T53" s="1357"/>
      <c r="V53" s="329"/>
      <c r="W53" s="335"/>
      <c r="X53" s="329"/>
      <c r="Y53" s="1356"/>
      <c r="Z53" s="1357"/>
    </row>
    <row r="54" spans="2:26" s="18" customFormat="1" ht="21" customHeight="1">
      <c r="B54" s="2077"/>
      <c r="C54" s="302" t="s">
        <v>293</v>
      </c>
      <c r="D54" s="2078"/>
      <c r="G54" s="292" t="s">
        <v>481</v>
      </c>
      <c r="I54" s="2059"/>
      <c r="J54" s="2059"/>
      <c r="N54" s="1357"/>
      <c r="O54" s="325"/>
      <c r="P54" s="325"/>
      <c r="Q54" s="325"/>
      <c r="R54" s="325"/>
      <c r="S54" s="325"/>
      <c r="T54" s="1357"/>
      <c r="V54" s="329"/>
      <c r="W54" s="335"/>
      <c r="X54" s="329"/>
      <c r="Y54" s="1356"/>
      <c r="Z54" s="1357"/>
    </row>
    <row r="55" spans="2:26" s="18" customFormat="1" ht="21" customHeight="1">
      <c r="B55" s="2077"/>
      <c r="C55" s="302" t="s">
        <v>293</v>
      </c>
      <c r="D55" s="2078"/>
      <c r="G55" s="292" t="s">
        <v>482</v>
      </c>
      <c r="I55" s="2059"/>
      <c r="J55" s="2059"/>
      <c r="N55" s="1357"/>
      <c r="O55" s="325"/>
      <c r="P55" s="325"/>
      <c r="Q55" s="325"/>
      <c r="R55" s="325"/>
      <c r="S55" s="325"/>
      <c r="T55" s="1357"/>
      <c r="V55" s="329"/>
      <c r="W55" s="335"/>
      <c r="X55" s="329"/>
      <c r="Y55" s="1356"/>
      <c r="Z55" s="1357"/>
    </row>
    <row r="56" spans="2:26" s="18" customFormat="1" ht="21" customHeight="1">
      <c r="B56" s="2077"/>
      <c r="C56" s="302" t="s">
        <v>293</v>
      </c>
      <c r="D56" s="2078"/>
      <c r="G56" s="292" t="s">
        <v>483</v>
      </c>
      <c r="I56" s="2059"/>
      <c r="J56" s="2059"/>
      <c r="N56" s="1357"/>
      <c r="O56" s="325"/>
      <c r="P56" s="325"/>
      <c r="Q56" s="325"/>
      <c r="R56" s="325"/>
      <c r="S56" s="325"/>
      <c r="T56" s="1357"/>
      <c r="V56" s="329"/>
      <c r="W56" s="335"/>
      <c r="X56" s="329"/>
      <c r="Y56" s="1356"/>
      <c r="Z56" s="1357"/>
    </row>
    <row r="57" spans="2:26" s="18" customFormat="1" ht="21" customHeight="1">
      <c r="B57" s="2077"/>
      <c r="C57" s="302" t="s">
        <v>293</v>
      </c>
      <c r="D57" s="2078"/>
      <c r="G57" s="292" t="s">
        <v>484</v>
      </c>
      <c r="I57" s="2059"/>
      <c r="J57" s="2059"/>
      <c r="N57" s="1357"/>
      <c r="O57" s="325"/>
      <c r="P57" s="325"/>
      <c r="Q57" s="325"/>
      <c r="R57" s="325"/>
      <c r="S57" s="325"/>
      <c r="T57" s="1357"/>
      <c r="V57" s="329"/>
      <c r="W57" s="335"/>
      <c r="X57" s="329"/>
      <c r="Y57" s="1356"/>
      <c r="Z57" s="1357"/>
    </row>
    <row r="58" spans="2:26" s="18" customFormat="1" ht="21" customHeight="1">
      <c r="B58" s="2077"/>
      <c r="C58" s="302" t="s">
        <v>293</v>
      </c>
      <c r="D58" s="2078"/>
      <c r="G58" s="292" t="s">
        <v>485</v>
      </c>
      <c r="I58" s="2059"/>
      <c r="J58" s="2059"/>
      <c r="N58" s="1357"/>
      <c r="O58" s="325"/>
      <c r="P58" s="325"/>
      <c r="Q58" s="325"/>
      <c r="R58" s="325"/>
      <c r="S58" s="325"/>
      <c r="T58" s="1357"/>
      <c r="V58" s="329"/>
      <c r="W58" s="335"/>
      <c r="X58" s="329"/>
      <c r="Y58" s="1356"/>
      <c r="Z58" s="1357"/>
    </row>
    <row r="59" spans="2:26" s="18" customFormat="1" ht="21" customHeight="1">
      <c r="B59" s="2077"/>
      <c r="C59" s="302" t="s">
        <v>293</v>
      </c>
      <c r="D59" s="2078"/>
      <c r="G59" s="292" t="s">
        <v>486</v>
      </c>
      <c r="I59" s="2059"/>
      <c r="J59" s="2059"/>
      <c r="N59" s="1357"/>
      <c r="O59" s="325"/>
      <c r="P59" s="325"/>
      <c r="Q59" s="325"/>
      <c r="R59" s="325"/>
      <c r="S59" s="325"/>
      <c r="T59" s="1357"/>
      <c r="V59" s="329"/>
      <c r="W59" s="335"/>
      <c r="X59" s="329"/>
      <c r="Y59" s="1356"/>
      <c r="Z59" s="1357"/>
    </row>
    <row r="60" spans="2:26" s="18" customFormat="1" ht="21" customHeight="1">
      <c r="B60" s="2077"/>
      <c r="C60" s="302" t="s">
        <v>293</v>
      </c>
      <c r="D60" s="2078"/>
      <c r="G60" s="292" t="s">
        <v>487</v>
      </c>
      <c r="I60" s="2059"/>
      <c r="J60" s="2059"/>
      <c r="N60" s="1357"/>
      <c r="O60" s="325"/>
      <c r="P60" s="325"/>
      <c r="Q60" s="325"/>
      <c r="R60" s="325"/>
      <c r="S60" s="325"/>
      <c r="T60" s="1357"/>
      <c r="V60" s="329"/>
      <c r="W60" s="335"/>
      <c r="X60" s="329"/>
      <c r="Y60" s="1356"/>
      <c r="Z60" s="1357"/>
    </row>
    <row r="61" spans="2:26" s="18" customFormat="1" ht="21" customHeight="1">
      <c r="B61" s="2077"/>
      <c r="C61" s="302" t="s">
        <v>293</v>
      </c>
      <c r="D61" s="2078"/>
      <c r="G61" s="292" t="s">
        <v>488</v>
      </c>
      <c r="I61" s="2059"/>
      <c r="J61" s="2059"/>
      <c r="N61" s="1357"/>
      <c r="O61" s="325"/>
      <c r="P61" s="325"/>
      <c r="Q61" s="325"/>
      <c r="R61" s="325"/>
      <c r="S61" s="325"/>
      <c r="T61" s="1357"/>
      <c r="V61" s="329"/>
      <c r="W61" s="335"/>
      <c r="X61" s="329"/>
      <c r="Y61" s="1356"/>
      <c r="Z61" s="1357"/>
    </row>
    <row r="62" spans="2:26" s="18" customFormat="1" ht="21" customHeight="1">
      <c r="B62" s="2077"/>
      <c r="C62" s="302" t="s">
        <v>293</v>
      </c>
      <c r="D62" s="2078"/>
      <c r="G62" s="292" t="s">
        <v>489</v>
      </c>
      <c r="I62" s="2059"/>
      <c r="J62" s="2059"/>
      <c r="N62" s="1357"/>
      <c r="O62" s="325"/>
      <c r="P62" s="325"/>
      <c r="Q62" s="325"/>
      <c r="R62" s="325"/>
      <c r="S62" s="325"/>
      <c r="T62" s="1357"/>
      <c r="V62" s="329"/>
      <c r="W62" s="335"/>
      <c r="X62" s="329"/>
      <c r="Y62" s="1356"/>
      <c r="Z62" s="1357"/>
    </row>
    <row r="63" spans="2:26" s="18" customFormat="1" ht="21" customHeight="1">
      <c r="B63" s="2077"/>
      <c r="C63" s="302" t="s">
        <v>293</v>
      </c>
      <c r="D63" s="2078"/>
      <c r="G63" s="292" t="s">
        <v>490</v>
      </c>
      <c r="I63" s="2059"/>
      <c r="J63" s="2059"/>
      <c r="N63" s="1357"/>
      <c r="O63" s="325"/>
      <c r="P63" s="325"/>
      <c r="Q63" s="325"/>
      <c r="R63" s="325"/>
      <c r="S63" s="325"/>
      <c r="T63" s="1357"/>
      <c r="V63" s="329"/>
      <c r="W63" s="335"/>
      <c r="X63" s="329"/>
      <c r="Y63" s="1356"/>
      <c r="Z63" s="1357"/>
    </row>
    <row r="64" spans="2:26" s="18" customFormat="1">
      <c r="N64" s="1357"/>
      <c r="O64" s="325"/>
      <c r="P64" s="325"/>
      <c r="Q64" s="325"/>
      <c r="R64" s="325"/>
      <c r="S64" s="325"/>
      <c r="T64" s="1357"/>
      <c r="U64" s="329"/>
      <c r="V64" s="329"/>
      <c r="W64" s="329"/>
      <c r="X64" s="325"/>
      <c r="Y64" s="1356"/>
      <c r="Z64" s="1357"/>
    </row>
    <row r="65" spans="2:32" s="18" customFormat="1" ht="21" customHeight="1">
      <c r="B65" s="304" t="s">
        <v>491</v>
      </c>
      <c r="C65" s="302" t="s">
        <v>293</v>
      </c>
      <c r="D65" s="2060"/>
      <c r="G65" s="292" t="s">
        <v>492</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493</v>
      </c>
      <c r="C66" s="302" t="s">
        <v>410</v>
      </c>
      <c r="E66" s="2061"/>
      <c r="G66" s="292" t="s">
        <v>494</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495</v>
      </c>
    </row>
    <row r="67" spans="2:32" s="18" customFormat="1">
      <c r="I67" s="20"/>
      <c r="J67" s="20"/>
      <c r="N67" s="336"/>
      <c r="O67" s="336"/>
      <c r="P67" s="336"/>
      <c r="Q67" s="336"/>
      <c r="R67" s="336"/>
      <c r="S67" s="336"/>
      <c r="T67" s="336"/>
      <c r="U67" s="336"/>
      <c r="V67" s="336"/>
      <c r="W67" s="336"/>
      <c r="X67" s="336"/>
      <c r="Y67" s="336"/>
      <c r="Z67" s="336"/>
    </row>
    <row r="68" spans="2:32">
      <c r="B68" s="276" t="s">
        <v>299</v>
      </c>
      <c r="C68" s="1356"/>
      <c r="D68" s="1356"/>
      <c r="E68" s="1356"/>
      <c r="F68" s="1356"/>
      <c r="G68" s="1356"/>
    </row>
    <row r="69" spans="2:32">
      <c r="B69" s="8"/>
      <c r="C69" s="8"/>
      <c r="D69" s="8"/>
      <c r="E69" s="8"/>
      <c r="F69" s="8"/>
      <c r="G69" s="8"/>
    </row>
    <row r="70" spans="2:32">
      <c r="B70" s="1818" t="s">
        <v>300</v>
      </c>
      <c r="C70" s="8"/>
      <c r="D70" s="8"/>
      <c r="E70" s="8"/>
      <c r="F70" s="8"/>
      <c r="G70" s="8"/>
    </row>
    <row r="71" spans="2:32">
      <c r="B71" s="371"/>
      <c r="C71" s="8"/>
      <c r="D71" s="8"/>
      <c r="E71" s="8"/>
      <c r="F71" s="8"/>
      <c r="G71" s="8"/>
    </row>
    <row r="72" spans="2:32">
      <c r="B72" s="1968" t="s">
        <v>301</v>
      </c>
      <c r="C72" s="8"/>
      <c r="D72" s="8"/>
      <c r="E72" s="8"/>
      <c r="F72" s="8"/>
      <c r="G72" s="8"/>
    </row>
    <row r="73" spans="2:32">
      <c r="B73" s="8"/>
      <c r="C73" s="8"/>
      <c r="D73" s="8"/>
      <c r="E73" s="8"/>
      <c r="F73" s="8"/>
      <c r="G73" s="8"/>
    </row>
    <row r="74" spans="2:32">
      <c r="B74" s="1819" t="s">
        <v>302</v>
      </c>
      <c r="C74" s="8"/>
      <c r="D74" s="8"/>
      <c r="E74" s="8"/>
      <c r="F74" s="8"/>
      <c r="G74" s="8"/>
    </row>
    <row r="75" spans="2:32">
      <c r="B75" s="8"/>
      <c r="C75" s="8"/>
      <c r="D75" s="8"/>
      <c r="E75" s="8"/>
      <c r="F75" s="8"/>
      <c r="G75" s="8"/>
    </row>
    <row r="76" spans="2:32">
      <c r="B76" s="1820"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5" zoomScaleNormal="100" zoomScaleSheetLayoutView="100" workbookViewId="0">
      <selection activeCell="F20" sqref="F2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970" t="str">
        <f>'Validation summary'!$B$2</f>
        <v>2023-24</v>
      </c>
      <c r="U1" s="319"/>
      <c r="AA1" s="319"/>
      <c r="AF1" s="319"/>
    </row>
    <row r="2" spans="2:40" s="1" customFormat="1" ht="10.15"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Northumbrian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56"/>
      <c r="N6" s="1356"/>
      <c r="O6" s="1356"/>
      <c r="P6" s="1356"/>
      <c r="Q6" s="1356"/>
      <c r="R6" s="1356"/>
      <c r="S6" s="1356"/>
      <c r="T6" s="1356"/>
      <c r="U6" s="1357"/>
      <c r="V6" s="327" t="s">
        <v>142</v>
      </c>
      <c r="W6" s="1356"/>
      <c r="X6" s="1356"/>
      <c r="Y6" s="1356"/>
      <c r="Z6" s="1356"/>
      <c r="AA6" s="1357"/>
      <c r="AB6" s="327" t="s">
        <v>143</v>
      </c>
      <c r="AC6" s="327" t="s">
        <v>497</v>
      </c>
      <c r="AD6" s="327"/>
      <c r="AE6" s="1356"/>
      <c r="AF6" s="1357"/>
      <c r="AG6" s="1356"/>
      <c r="AH6" s="2160"/>
      <c r="AI6" s="2159"/>
      <c r="AJ6" s="2159"/>
      <c r="AK6" s="2161"/>
      <c r="AL6" s="2163"/>
      <c r="AM6" s="2159"/>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5">
      <c r="B8" s="309" t="s">
        <v>498</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498</v>
      </c>
      <c r="AI8" s="12"/>
      <c r="AJ8" s="1353"/>
      <c r="AK8" s="1353"/>
      <c r="AL8" s="1353"/>
      <c r="AM8" s="1353"/>
      <c r="AN8" s="1356"/>
    </row>
    <row r="9" spans="2:40" s="9" customFormat="1" ht="28.4" customHeight="1">
      <c r="B9" s="288" t="s">
        <v>499</v>
      </c>
      <c r="C9" s="293" t="str">
        <f>IF($I$3="Select company","",VLOOKUP('3A'!$R$1,C_RSRinD,2,0))</f>
        <v>PR19NES_COM10</v>
      </c>
      <c r="D9" s="306" t="str">
        <f>IF($I$3="Select company","",INDEX(App1bdata,MATCH($C9,App1bIDnrs,0),20))</f>
        <v>%</v>
      </c>
      <c r="E9" s="306">
        <f>IF($I$3="Select company","",INDEX(App1bdata,MATCH($C9,App1bIDnrs,0),22))</f>
        <v>1</v>
      </c>
      <c r="F9" s="1835">
        <v>0</v>
      </c>
      <c r="G9" s="1822" t="s">
        <v>961</v>
      </c>
      <c r="H9" s="35"/>
      <c r="I9" s="292" t="s">
        <v>500</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PR19NES_COM10</v>
      </c>
      <c r="AJ9" s="288" t="str">
        <f t="shared" si="0"/>
        <v>%</v>
      </c>
      <c r="AK9" s="288">
        <f t="shared" si="0"/>
        <v>1</v>
      </c>
      <c r="AL9" s="1466" t="s">
        <v>501</v>
      </c>
      <c r="AM9" s="1457" t="s">
        <v>502</v>
      </c>
      <c r="AN9" s="1356"/>
    </row>
    <row r="10" spans="2:40" s="9" customFormat="1" ht="28.4" customHeight="1">
      <c r="B10" s="288" t="s">
        <v>503</v>
      </c>
      <c r="C10" s="293" t="str">
        <f>IF($I$3="Select company","",VLOOKUP('3A'!$R$1,C_PSR,2,0))</f>
        <v>PR19NES_COM16</v>
      </c>
      <c r="D10" s="293" t="str">
        <f>IF($I$3="Select company","",INDEX(App1bdata,MATCH($C10,App1bIDnrs,0),20))</f>
        <v>%</v>
      </c>
      <c r="E10" s="293">
        <f>IF($I$3="Select company","",INDEX(App1bdata,MATCH($C10,App1bIDnrs,0),22))</f>
        <v>1</v>
      </c>
      <c r="F10" s="2107">
        <v>9.4</v>
      </c>
      <c r="G10" s="1822" t="s">
        <v>961</v>
      </c>
      <c r="H10" s="35"/>
      <c r="I10" s="292" t="s">
        <v>504</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PR19NES_COM16</v>
      </c>
      <c r="AJ10" s="288" t="str">
        <f t="shared" si="0"/>
        <v>%</v>
      </c>
      <c r="AK10" s="288">
        <f t="shared" si="0"/>
        <v>1</v>
      </c>
      <c r="AL10" s="1448" t="s">
        <v>505</v>
      </c>
      <c r="AM10" s="1457" t="s">
        <v>506</v>
      </c>
      <c r="AN10" s="1356"/>
    </row>
    <row r="11" spans="2:40" s="9" customFormat="1" ht="28.4" customHeight="1">
      <c r="B11" s="288" t="s">
        <v>507</v>
      </c>
      <c r="C11" s="293" t="str">
        <f>IF($I$3="Select company","",VLOOKUP('3A'!$R$1,C_PSR,2,0))</f>
        <v>PR19NES_COM16</v>
      </c>
      <c r="D11" s="293" t="str">
        <f>IF($I$3="Select company","",INDEX(App1bdata,MATCH($C11,App1bIDnrs,0),20))</f>
        <v>%</v>
      </c>
      <c r="E11" s="293">
        <f>IF($I$3="Select company","",INDEX(App1bdata,MATCH($C11,App1bIDnrs,0),22))</f>
        <v>1</v>
      </c>
      <c r="F11" s="2107">
        <v>90</v>
      </c>
      <c r="G11" s="1822" t="s">
        <v>961</v>
      </c>
      <c r="H11" s="35"/>
      <c r="I11" s="292" t="s">
        <v>508</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PR19NES_COM16</v>
      </c>
      <c r="AJ11" s="288" t="str">
        <f t="shared" si="0"/>
        <v>%</v>
      </c>
      <c r="AK11" s="288">
        <f t="shared" si="0"/>
        <v>1</v>
      </c>
      <c r="AL11" s="1448" t="s">
        <v>509</v>
      </c>
      <c r="AM11" s="1457" t="s">
        <v>510</v>
      </c>
      <c r="AN11" s="1356"/>
    </row>
    <row r="12" spans="2:40" s="9" customFormat="1" ht="28.4" customHeight="1">
      <c r="B12" s="288" t="s">
        <v>511</v>
      </c>
      <c r="C12" s="293" t="str">
        <f>IF($I$3="Select company","",VLOOKUP('3A'!$R$1,C_PSR,2,0))</f>
        <v>PR19NES_COM16</v>
      </c>
      <c r="D12" s="293" t="str">
        <f>IF($I$3="Select company","",INDEX(App1bdata,MATCH($C12,App1bIDnrs,0),20))</f>
        <v>%</v>
      </c>
      <c r="E12" s="293">
        <f>IF($I$3="Select company","",INDEX(App1bdata,MATCH($C12,App1bIDnrs,0),22))</f>
        <v>1</v>
      </c>
      <c r="F12" s="2107">
        <v>35</v>
      </c>
      <c r="G12" s="1822" t="s">
        <v>961</v>
      </c>
      <c r="H12" s="35"/>
      <c r="I12" s="292" t="s">
        <v>512</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PR19NES_COM16</v>
      </c>
      <c r="AJ12" s="288" t="str">
        <f t="shared" si="0"/>
        <v>%</v>
      </c>
      <c r="AK12" s="288">
        <f t="shared" si="0"/>
        <v>1</v>
      </c>
      <c r="AL12" s="1448" t="s">
        <v>513</v>
      </c>
      <c r="AM12" s="1457" t="s">
        <v>514</v>
      </c>
      <c r="AN12" s="1356"/>
    </row>
    <row r="13" spans="2:40" s="9" customFormat="1" ht="28.4" customHeight="1">
      <c r="B13" s="288" t="str">
        <f>IF('Validation summary'!$F$3="Woc","","Risk of sewer flooding in a storm")</f>
        <v>Risk of sewer flooding in a storm</v>
      </c>
      <c r="C13" s="293" t="str">
        <f>IF(OR($I$3="Select company",'Validation summary'!$F$3="WoC"),"",VLOOKUP('3A'!$R$1,C_RSFinS,2,0))</f>
        <v>PR19NES_COM11</v>
      </c>
      <c r="D13" s="293" t="str">
        <f>IF(OR($I$3="Select company",'Validation summary'!$F$3="WoC"),"",INDEX(App1bdata,MATCH($C13,App1bIDnrs,0),20))</f>
        <v>%</v>
      </c>
      <c r="E13" s="293">
        <f>IF(OR($I$3="Select company",'Validation summary'!$F$3="WoC"),"",INDEX(App1bdata,MATCH($C13,App1bIDnrs,0),22))</f>
        <v>2</v>
      </c>
      <c r="F13" s="1831">
        <v>16.11</v>
      </c>
      <c r="G13" s="1822" t="s">
        <v>961</v>
      </c>
      <c r="H13" s="1356"/>
      <c r="I13" s="292" t="s">
        <v>515</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Risk of sewer flooding in a storm</v>
      </c>
      <c r="AI13" s="288" t="str">
        <f t="shared" si="0"/>
        <v>PR19NES_COM11</v>
      </c>
      <c r="AJ13" s="288" t="str">
        <f t="shared" si="0"/>
        <v>%</v>
      </c>
      <c r="AK13" s="288">
        <f t="shared" si="0"/>
        <v>2</v>
      </c>
      <c r="AL13" s="1467" t="s">
        <v>516</v>
      </c>
      <c r="AM13" s="1457" t="s">
        <v>517</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190</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518</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518</v>
      </c>
      <c r="AI15" s="12"/>
      <c r="AJ15" s="1353"/>
      <c r="AK15" s="1353"/>
      <c r="AL15" s="1353"/>
      <c r="AM15" s="1353"/>
      <c r="AN15" s="1356"/>
    </row>
    <row r="16" spans="2:40" s="16" customFormat="1" ht="28.4" customHeight="1">
      <c r="B16" s="288" t="str">
        <f t="shared" ref="B16:B38" si="2">IF($I$3="Select company","",IF($C16="","",INDEX(App1data,MATCH($C16,App1IDnrs,0),5)))</f>
        <v>Satisfaction of Customers who receive additional non-financial support</v>
      </c>
      <c r="C16" s="293" t="str">
        <f>IF($I$3="Select company","",IF(HLOOKUP('3A'!$R$1,B_NFIN_All,'PC lists'!$B79,0)="","",HLOOKUP('3A'!$R$1,B_NFIN_All,'PC lists'!$B79,0)))</f>
        <v>PR19NES_BES01</v>
      </c>
      <c r="D16" s="293" t="str">
        <f t="shared" ref="D16:D38" si="3">IF($C16="","",INDEX(App1data,MATCH($C16,App1IDnrs,0),20))</f>
        <v>nr</v>
      </c>
      <c r="E16" s="293">
        <f t="shared" ref="E16:E38" si="4">IF($C16="","",INDEX(App1data,MATCH($C16,App1IDnrs,0),22))</f>
        <v>1</v>
      </c>
      <c r="F16" s="1859">
        <v>8.8000000000000007</v>
      </c>
      <c r="G16" s="1822" t="s">
        <v>961</v>
      </c>
      <c r="I16" s="292" t="s">
        <v>519</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Satisfaction of Customers who receive additional non-financial support</v>
      </c>
      <c r="AI16" s="288" t="str">
        <f t="shared" si="7"/>
        <v>PR19NES_BES01</v>
      </c>
      <c r="AJ16" s="288" t="str">
        <f t="shared" si="7"/>
        <v>nr</v>
      </c>
      <c r="AK16" s="288">
        <f t="shared" si="7"/>
        <v>1</v>
      </c>
      <c r="AL16" s="1468" t="s">
        <v>520</v>
      </c>
      <c r="AM16" s="1457" t="s">
        <v>521</v>
      </c>
    </row>
    <row r="17" spans="2:39" s="16" customFormat="1" ht="28.4" customHeight="1">
      <c r="B17" s="288" t="str">
        <f t="shared" si="2"/>
        <v>Awareness of additional non-financial support</v>
      </c>
      <c r="C17" s="293" t="str">
        <f>IF($I$3="Select company","",IF(HLOOKUP('3A'!$R$1,B_NFIN_All,'PC lists'!$B80,0)="","",HLOOKUP('3A'!$R$1,B_NFIN_All,'PC lists'!$B80,0)))</f>
        <v>PR19NES_BES02</v>
      </c>
      <c r="D17" s="293" t="str">
        <f t="shared" si="3"/>
        <v>%</v>
      </c>
      <c r="E17" s="293">
        <f t="shared" si="4"/>
        <v>1</v>
      </c>
      <c r="F17" s="1822">
        <v>58.5</v>
      </c>
      <c r="G17" s="1822" t="s">
        <v>961</v>
      </c>
      <c r="I17" s="292" t="s">
        <v>522</v>
      </c>
      <c r="K17" s="326">
        <f t="shared" ref="K17:K38" si="8">IF(SUM($V17:$X17)=0,0,$V$6)</f>
        <v>0</v>
      </c>
      <c r="L17" s="338"/>
      <c r="U17" s="1357"/>
      <c r="V17" s="325"/>
      <c r="W17" s="325">
        <f t="shared" si="5"/>
        <v>0</v>
      </c>
      <c r="X17" s="325">
        <f t="shared" si="6"/>
        <v>0</v>
      </c>
      <c r="Y17" s="325"/>
      <c r="Z17" s="325"/>
      <c r="AA17" s="320"/>
      <c r="AD17" s="329"/>
      <c r="AF17" s="1357"/>
      <c r="AH17" s="288" t="str">
        <f t="shared" si="7"/>
        <v>Awareness of additional non-financial support</v>
      </c>
      <c r="AI17" s="288" t="str">
        <f t="shared" si="7"/>
        <v>PR19NES_BES02</v>
      </c>
      <c r="AJ17" s="288" t="str">
        <f t="shared" si="7"/>
        <v>%</v>
      </c>
      <c r="AK17" s="288">
        <f t="shared" si="7"/>
        <v>1</v>
      </c>
      <c r="AL17" s="1468" t="s">
        <v>523</v>
      </c>
      <c r="AM17" s="1457" t="s">
        <v>524</v>
      </c>
    </row>
    <row r="18" spans="2:39" s="16" customFormat="1" ht="28.4" customHeight="1">
      <c r="B18" s="288" t="str">
        <f t="shared" si="2"/>
        <v>Response time to written complaints</v>
      </c>
      <c r="C18" s="293" t="str">
        <f>IF($I$3="Select company","",IF(HLOOKUP('3A'!$R$1,B_NFIN_All,'PC lists'!$B81,0)="","",HLOOKUP('3A'!$R$1,B_NFIN_All,'PC lists'!$B81,0)))</f>
        <v>PR19NES_BES03</v>
      </c>
      <c r="D18" s="293" t="str">
        <f t="shared" si="3"/>
        <v>nr</v>
      </c>
      <c r="E18" s="293">
        <f t="shared" si="4"/>
        <v>2</v>
      </c>
      <c r="F18" s="1822">
        <v>7.5</v>
      </c>
      <c r="G18" s="1822" t="s">
        <v>973</v>
      </c>
      <c r="I18" s="292" t="s">
        <v>525</v>
      </c>
      <c r="K18" s="326">
        <f t="shared" si="8"/>
        <v>0</v>
      </c>
      <c r="L18" s="338"/>
      <c r="U18" s="1357"/>
      <c r="V18" s="325"/>
      <c r="W18" s="325">
        <f t="shared" si="5"/>
        <v>0</v>
      </c>
      <c r="X18" s="325">
        <f t="shared" si="6"/>
        <v>0</v>
      </c>
      <c r="Y18" s="325"/>
      <c r="Z18" s="325"/>
      <c r="AA18" s="320"/>
      <c r="AD18" s="329"/>
      <c r="AF18" s="1357"/>
      <c r="AH18" s="288" t="str">
        <f t="shared" si="7"/>
        <v>Response time to written complaints</v>
      </c>
      <c r="AI18" s="288" t="str">
        <f t="shared" si="7"/>
        <v>PR19NES_BES03</v>
      </c>
      <c r="AJ18" s="288" t="str">
        <f t="shared" si="7"/>
        <v>nr</v>
      </c>
      <c r="AK18" s="288">
        <f t="shared" si="7"/>
        <v>2</v>
      </c>
      <c r="AL18" s="1468" t="s">
        <v>526</v>
      </c>
      <c r="AM18" s="1457" t="s">
        <v>527</v>
      </c>
    </row>
    <row r="19" spans="2:39" s="16" customFormat="1" ht="28.4" customHeight="1">
      <c r="B19" s="288" t="str">
        <f t="shared" si="2"/>
        <v>Customers' perception of trust</v>
      </c>
      <c r="C19" s="293" t="str">
        <f>IF($I$3="Select company","",IF(HLOOKUP('3A'!$R$1,B_NFIN_All,'PC lists'!$B82,0)="","",HLOOKUP('3A'!$R$1,B_NFIN_All,'PC lists'!$B82,0)))</f>
        <v>PR19NES_BES05</v>
      </c>
      <c r="D19" s="293" t="str">
        <f t="shared" si="3"/>
        <v>nr</v>
      </c>
      <c r="E19" s="293">
        <f t="shared" si="4"/>
        <v>1</v>
      </c>
      <c r="F19" s="1824">
        <v>8.8000000000000007</v>
      </c>
      <c r="G19" s="1822" t="s">
        <v>961</v>
      </c>
      <c r="I19" s="292" t="s">
        <v>528</v>
      </c>
      <c r="K19" s="326">
        <f t="shared" si="8"/>
        <v>0</v>
      </c>
      <c r="L19" s="338"/>
      <c r="U19" s="320"/>
      <c r="V19" s="325"/>
      <c r="W19" s="325">
        <f t="shared" si="5"/>
        <v>0</v>
      </c>
      <c r="X19" s="325">
        <f t="shared" si="6"/>
        <v>0</v>
      </c>
      <c r="Y19" s="325"/>
      <c r="Z19" s="325"/>
      <c r="AA19" s="320"/>
      <c r="AD19" s="329"/>
      <c r="AF19" s="320"/>
      <c r="AH19" s="288" t="str">
        <f t="shared" si="7"/>
        <v>Customers' perception of trust</v>
      </c>
      <c r="AI19" s="288" t="str">
        <f t="shared" si="7"/>
        <v>PR19NES_BES05</v>
      </c>
      <c r="AJ19" s="288" t="str">
        <f t="shared" si="7"/>
        <v>nr</v>
      </c>
      <c r="AK19" s="288">
        <f t="shared" si="7"/>
        <v>1</v>
      </c>
      <c r="AL19" s="1468" t="s">
        <v>529</v>
      </c>
      <c r="AM19" s="1457" t="s">
        <v>530</v>
      </c>
    </row>
    <row r="20" spans="2:39" s="16" customFormat="1" ht="28.4" customHeight="1">
      <c r="B20" s="288" t="str">
        <f t="shared" si="2"/>
        <v>Percentage of households in water poverty</v>
      </c>
      <c r="C20" s="293" t="str">
        <f>IF($I$3="Select company","",IF(HLOOKUP('3A'!$R$1,B_NFIN_All,'PC lists'!$B83,0)="","",HLOOKUP('3A'!$R$1,B_NFIN_All,'PC lists'!$B83,0)))</f>
        <v>PR19NES_BES06</v>
      </c>
      <c r="D20" s="293" t="str">
        <f t="shared" si="3"/>
        <v>%</v>
      </c>
      <c r="E20" s="293">
        <f t="shared" si="4"/>
        <v>2</v>
      </c>
      <c r="F20" s="1822">
        <v>13.07</v>
      </c>
      <c r="G20" s="1822" t="s">
        <v>973</v>
      </c>
      <c r="I20" s="292" t="s">
        <v>531</v>
      </c>
      <c r="K20" s="326">
        <f t="shared" si="8"/>
        <v>0</v>
      </c>
      <c r="L20" s="338"/>
      <c r="U20" s="320"/>
      <c r="V20" s="325"/>
      <c r="W20" s="325">
        <f t="shared" si="5"/>
        <v>0</v>
      </c>
      <c r="X20" s="325">
        <f t="shared" si="6"/>
        <v>0</v>
      </c>
      <c r="Y20" s="325"/>
      <c r="Z20" s="325"/>
      <c r="AA20" s="320"/>
      <c r="AD20" s="329"/>
      <c r="AF20" s="320"/>
      <c r="AH20" s="288" t="str">
        <f t="shared" si="7"/>
        <v>Percentage of households in water poverty</v>
      </c>
      <c r="AI20" s="288" t="str">
        <f t="shared" si="7"/>
        <v>PR19NES_BES06</v>
      </c>
      <c r="AJ20" s="288" t="str">
        <f t="shared" si="7"/>
        <v>%</v>
      </c>
      <c r="AK20" s="288">
        <f t="shared" si="7"/>
        <v>2</v>
      </c>
      <c r="AL20" s="1468" t="s">
        <v>532</v>
      </c>
      <c r="AM20" s="1457" t="s">
        <v>533</v>
      </c>
    </row>
    <row r="21" spans="2:39" s="16" customFormat="1" ht="28.4" customHeight="1">
      <c r="B21" s="288" t="str">
        <f t="shared" si="2"/>
        <v>Gap sites</v>
      </c>
      <c r="C21" s="293" t="str">
        <f>IF($I$3="Select company","",IF(HLOOKUP('3A'!$R$1,B_NFIN_All,'PC lists'!$B84,0)="","",HLOOKUP('3A'!$R$1,B_NFIN_All,'PC lists'!$B84,0)))</f>
        <v>PR19NES_BES07</v>
      </c>
      <c r="D21" s="293" t="str">
        <f t="shared" si="3"/>
        <v>%</v>
      </c>
      <c r="E21" s="293">
        <f t="shared" si="4"/>
        <v>1</v>
      </c>
      <c r="F21" s="1822">
        <v>65</v>
      </c>
      <c r="G21" s="1822" t="s">
        <v>973</v>
      </c>
      <c r="I21" s="292" t="s">
        <v>534</v>
      </c>
      <c r="K21" s="326">
        <f t="shared" si="8"/>
        <v>0</v>
      </c>
      <c r="L21" s="338"/>
      <c r="U21" s="320"/>
      <c r="V21" s="325"/>
      <c r="W21" s="325">
        <f t="shared" si="5"/>
        <v>0</v>
      </c>
      <c r="X21" s="325">
        <f t="shared" si="6"/>
        <v>0</v>
      </c>
      <c r="Y21" s="325"/>
      <c r="Z21" s="325"/>
      <c r="AA21" s="320"/>
      <c r="AD21" s="329"/>
      <c r="AF21" s="320"/>
      <c r="AH21" s="288" t="str">
        <f t="shared" si="7"/>
        <v>Gap sites</v>
      </c>
      <c r="AI21" s="288" t="str">
        <f t="shared" si="7"/>
        <v>PR19NES_BES07</v>
      </c>
      <c r="AJ21" s="288" t="str">
        <f t="shared" si="7"/>
        <v>%</v>
      </c>
      <c r="AK21" s="288">
        <f t="shared" si="7"/>
        <v>1</v>
      </c>
      <c r="AL21" s="1468" t="s">
        <v>535</v>
      </c>
      <c r="AM21" s="1457" t="s">
        <v>536</v>
      </c>
    </row>
    <row r="22" spans="2:39" s="16" customFormat="1" ht="28.4" customHeight="1">
      <c r="B22" s="288" t="str">
        <f t="shared" si="2"/>
        <v>Bioresources</v>
      </c>
      <c r="C22" s="293" t="str">
        <f>IF($I$3="Select company","",IF(HLOOKUP('3A'!$R$1,B_NFIN_All,'PC lists'!$B85,0)="","",HLOOKUP('3A'!$R$1,B_NFIN_All,'PC lists'!$B85,0)))</f>
        <v>PR19NES_BES22</v>
      </c>
      <c r="D22" s="293" t="str">
        <f t="shared" si="3"/>
        <v>%</v>
      </c>
      <c r="E22" s="293">
        <f t="shared" si="4"/>
        <v>1</v>
      </c>
      <c r="F22" s="1822">
        <v>100</v>
      </c>
      <c r="G22" s="1822" t="s">
        <v>961</v>
      </c>
      <c r="I22" s="292" t="s">
        <v>537</v>
      </c>
      <c r="K22" s="326">
        <f t="shared" si="8"/>
        <v>0</v>
      </c>
      <c r="L22" s="338"/>
      <c r="U22" s="320"/>
      <c r="V22" s="325"/>
      <c r="W22" s="325">
        <f t="shared" si="5"/>
        <v>0</v>
      </c>
      <c r="X22" s="325">
        <f t="shared" si="6"/>
        <v>0</v>
      </c>
      <c r="Y22" s="325"/>
      <c r="Z22" s="325"/>
      <c r="AA22" s="320"/>
      <c r="AD22" s="329"/>
      <c r="AF22" s="320"/>
      <c r="AH22" s="288" t="str">
        <f t="shared" si="7"/>
        <v>Bioresources</v>
      </c>
      <c r="AI22" s="288" t="str">
        <f t="shared" si="7"/>
        <v>PR19NES_BES22</v>
      </c>
      <c r="AJ22" s="288" t="str">
        <f t="shared" si="7"/>
        <v>%</v>
      </c>
      <c r="AK22" s="288">
        <f t="shared" si="7"/>
        <v>1</v>
      </c>
      <c r="AL22" s="1468" t="s">
        <v>538</v>
      </c>
      <c r="AM22" s="1457" t="s">
        <v>539</v>
      </c>
    </row>
    <row r="23" spans="2:39" s="16" customFormat="1" ht="28.4" customHeight="1">
      <c r="B23" s="288" t="str">
        <f t="shared" si="2"/>
        <v>Satisfaction of Customers who receive additional financial support</v>
      </c>
      <c r="C23" s="293" t="str">
        <f>IF($I$3="Select company","",IF(HLOOKUP('3A'!$R$1,B_NFIN_All,'PC lists'!$B86,0)="","",HLOOKUP('3A'!$R$1,B_NFIN_All,'PC lists'!$B86,0)))</f>
        <v>PR19NES_BES01a</v>
      </c>
      <c r="D23" s="293" t="str">
        <f t="shared" si="3"/>
        <v>nr</v>
      </c>
      <c r="E23" s="293">
        <f t="shared" si="4"/>
        <v>1</v>
      </c>
      <c r="F23" s="1822">
        <v>8.8000000000000007</v>
      </c>
      <c r="G23" s="1822" t="s">
        <v>961</v>
      </c>
      <c r="I23" s="292" t="s">
        <v>540</v>
      </c>
      <c r="K23" s="326">
        <f t="shared" si="8"/>
        <v>0</v>
      </c>
      <c r="L23" s="338"/>
      <c r="U23" s="320"/>
      <c r="V23" s="325"/>
      <c r="W23" s="325">
        <f t="shared" si="5"/>
        <v>0</v>
      </c>
      <c r="X23" s="325">
        <f t="shared" si="6"/>
        <v>0</v>
      </c>
      <c r="Y23" s="325"/>
      <c r="Z23" s="325"/>
      <c r="AA23" s="320"/>
      <c r="AD23" s="329"/>
      <c r="AF23" s="320"/>
      <c r="AH23" s="288" t="str">
        <f t="shared" si="7"/>
        <v>Satisfaction of Customers who receive additional financial support</v>
      </c>
      <c r="AI23" s="288" t="str">
        <f t="shared" si="7"/>
        <v>PR19NES_BES01a</v>
      </c>
      <c r="AJ23" s="288" t="str">
        <f t="shared" si="7"/>
        <v>nr</v>
      </c>
      <c r="AK23" s="288">
        <f t="shared" si="7"/>
        <v>1</v>
      </c>
      <c r="AL23" s="1468" t="s">
        <v>541</v>
      </c>
      <c r="AM23" s="1457" t="s">
        <v>542</v>
      </c>
    </row>
    <row r="24" spans="2:39" s="16" customFormat="1" ht="28.4" customHeight="1">
      <c r="B24" s="288" t="str">
        <f t="shared" si="2"/>
        <v>Awareness of additional financial support</v>
      </c>
      <c r="C24" s="293" t="str">
        <f>IF($I$3="Select company","",IF(HLOOKUP('3A'!$R$1,B_NFIN_All,'PC lists'!$B87,0)="","",HLOOKUP('3A'!$R$1,B_NFIN_All,'PC lists'!$B87,0)))</f>
        <v>PR19NES_BES02a</v>
      </c>
      <c r="D24" s="293" t="str">
        <f t="shared" si="3"/>
        <v>%</v>
      </c>
      <c r="E24" s="293">
        <f t="shared" si="4"/>
        <v>1</v>
      </c>
      <c r="F24" s="1822">
        <v>65</v>
      </c>
      <c r="G24" s="1822" t="s">
        <v>961</v>
      </c>
      <c r="I24" s="292" t="s">
        <v>543</v>
      </c>
      <c r="K24" s="326">
        <f t="shared" si="8"/>
        <v>0</v>
      </c>
      <c r="L24" s="338"/>
      <c r="U24" s="320"/>
      <c r="V24" s="325"/>
      <c r="W24" s="325">
        <f t="shared" si="5"/>
        <v>0</v>
      </c>
      <c r="X24" s="325">
        <f t="shared" si="6"/>
        <v>0</v>
      </c>
      <c r="Y24" s="325"/>
      <c r="Z24" s="325"/>
      <c r="AA24" s="320"/>
      <c r="AD24" s="329"/>
      <c r="AF24" s="320"/>
      <c r="AH24" s="288" t="str">
        <f t="shared" si="7"/>
        <v>Awareness of additional financial support</v>
      </c>
      <c r="AI24" s="288" t="str">
        <f t="shared" si="7"/>
        <v>PR19NES_BES02a</v>
      </c>
      <c r="AJ24" s="288" t="str">
        <f t="shared" si="7"/>
        <v>%</v>
      </c>
      <c r="AK24" s="288">
        <f t="shared" si="7"/>
        <v>1</v>
      </c>
      <c r="AL24" s="1468" t="s">
        <v>544</v>
      </c>
      <c r="AM24" s="1457" t="s">
        <v>545</v>
      </c>
    </row>
    <row r="25" spans="2:39" s="16" customFormat="1" ht="28.4" customHeight="1">
      <c r="B25" s="288" t="str">
        <f t="shared" si="2"/>
        <v>British Standards Institution Award for Inclusive Services</v>
      </c>
      <c r="C25" s="293" t="str">
        <f>IF($I$3="Select company","",IF(HLOOKUP('3A'!$R$1,B_NFIN_All,'PC lists'!$B88,0)="","",HLOOKUP('3A'!$R$1,B_NFIN_All,'PC lists'!$B88,0)))</f>
        <v>PR19NES_BES23</v>
      </c>
      <c r="D25" s="293" t="str">
        <f t="shared" si="3"/>
        <v>text</v>
      </c>
      <c r="E25" s="293">
        <f t="shared" si="4"/>
        <v>0</v>
      </c>
      <c r="F25" s="1822" t="s">
        <v>2041</v>
      </c>
      <c r="G25" s="1822" t="s">
        <v>961</v>
      </c>
      <c r="I25" s="292" t="s">
        <v>546</v>
      </c>
      <c r="K25" s="326">
        <f t="shared" si="8"/>
        <v>0</v>
      </c>
      <c r="L25" s="338"/>
      <c r="U25" s="320"/>
      <c r="V25" s="325"/>
      <c r="W25" s="325">
        <f t="shared" si="5"/>
        <v>0</v>
      </c>
      <c r="X25" s="325">
        <f t="shared" si="6"/>
        <v>0</v>
      </c>
      <c r="Y25" s="325"/>
      <c r="Z25" s="325"/>
      <c r="AA25" s="320"/>
      <c r="AD25" s="329"/>
      <c r="AF25" s="320"/>
      <c r="AH25" s="288" t="str">
        <f t="shared" si="7"/>
        <v>British Standards Institution Award for Inclusive Services</v>
      </c>
      <c r="AI25" s="288" t="str">
        <f t="shared" si="7"/>
        <v>PR19NES_BES23</v>
      </c>
      <c r="AJ25" s="288" t="str">
        <f t="shared" si="7"/>
        <v>text</v>
      </c>
      <c r="AK25" s="288">
        <f t="shared" si="7"/>
        <v>0</v>
      </c>
      <c r="AL25" s="1468" t="s">
        <v>547</v>
      </c>
      <c r="AM25" s="1457" t="s">
        <v>548</v>
      </c>
    </row>
    <row r="26" spans="2:39" s="16" customFormat="1" ht="28.4" customHeight="1">
      <c r="B26" s="288" t="str">
        <f t="shared" si="2"/>
        <v>NWL Independent value for money survey</v>
      </c>
      <c r="C26" s="293" t="str">
        <f>IF($I$3="Select company","",IF(HLOOKUP('3A'!$R$1,B_NFIN_All,'PC lists'!$B89,0)="","",HLOOKUP('3A'!$R$1,B_NFIN_All,'PC lists'!$B89,0)))</f>
        <v>PR19NES_BES30</v>
      </c>
      <c r="D26" s="293" t="str">
        <f t="shared" si="3"/>
        <v>nr</v>
      </c>
      <c r="E26" s="293">
        <f t="shared" si="4"/>
        <v>1</v>
      </c>
      <c r="F26" s="1822">
        <v>8.4</v>
      </c>
      <c r="G26" s="1822" t="s">
        <v>961</v>
      </c>
      <c r="I26" s="292" t="s">
        <v>549</v>
      </c>
      <c r="K26" s="326">
        <f t="shared" si="8"/>
        <v>0</v>
      </c>
      <c r="L26" s="338"/>
      <c r="U26" s="320"/>
      <c r="V26" s="325"/>
      <c r="W26" s="325">
        <f t="shared" si="5"/>
        <v>0</v>
      </c>
      <c r="X26" s="325">
        <f t="shared" si="6"/>
        <v>0</v>
      </c>
      <c r="Y26" s="325"/>
      <c r="Z26" s="325"/>
      <c r="AA26" s="320"/>
      <c r="AD26" s="329"/>
      <c r="AF26" s="320"/>
      <c r="AH26" s="288" t="str">
        <f t="shared" si="7"/>
        <v>NWL Independent value for money survey</v>
      </c>
      <c r="AI26" s="288" t="str">
        <f t="shared" si="7"/>
        <v>PR19NES_BES30</v>
      </c>
      <c r="AJ26" s="288" t="str">
        <f t="shared" si="7"/>
        <v>nr</v>
      </c>
      <c r="AK26" s="288">
        <f t="shared" si="7"/>
        <v>1</v>
      </c>
      <c r="AL26" s="1468" t="s">
        <v>550</v>
      </c>
      <c r="AM26" s="1457" t="s">
        <v>551</v>
      </c>
    </row>
    <row r="27" spans="2:39" s="16" customFormat="1" ht="28.4" customHeight="1">
      <c r="B27" s="288" t="str">
        <f t="shared" si="2"/>
        <v>WINEP Delivery</v>
      </c>
      <c r="C27" s="293" t="str">
        <f>IF($I$3="Select company","",IF(HLOOKUP('3A'!$R$1,B_NFIN_All,'PC lists'!$B90,0)="","",HLOOKUP('3A'!$R$1,B_NFIN_All,'PC lists'!$B90,0)))</f>
        <v>PR19NES_NEP01</v>
      </c>
      <c r="D27" s="293" t="str">
        <f t="shared" si="3"/>
        <v>text</v>
      </c>
      <c r="E27" s="293">
        <f t="shared" si="4"/>
        <v>0</v>
      </c>
      <c r="F27" s="1822" t="s">
        <v>2064</v>
      </c>
      <c r="G27" s="1822" t="s">
        <v>961</v>
      </c>
      <c r="I27" s="292" t="s">
        <v>552</v>
      </c>
      <c r="K27" s="326">
        <f t="shared" si="8"/>
        <v>0</v>
      </c>
      <c r="L27" s="338"/>
      <c r="U27" s="320"/>
      <c r="V27" s="325"/>
      <c r="W27" s="325">
        <f t="shared" si="5"/>
        <v>0</v>
      </c>
      <c r="X27" s="325">
        <f t="shared" si="6"/>
        <v>0</v>
      </c>
      <c r="Y27" s="325"/>
      <c r="Z27" s="325"/>
      <c r="AA27" s="320"/>
      <c r="AD27" s="329"/>
      <c r="AF27" s="320"/>
      <c r="AH27" s="288" t="str">
        <f t="shared" si="7"/>
        <v>WINEP Delivery</v>
      </c>
      <c r="AI27" s="288" t="str">
        <f t="shared" si="7"/>
        <v>PR19NES_NEP01</v>
      </c>
      <c r="AJ27" s="288" t="str">
        <f t="shared" si="7"/>
        <v>text</v>
      </c>
      <c r="AK27" s="288">
        <f t="shared" si="7"/>
        <v>0</v>
      </c>
      <c r="AL27" s="1468" t="s">
        <v>553</v>
      </c>
      <c r="AM27" s="1457" t="s">
        <v>554</v>
      </c>
    </row>
    <row r="28" spans="2:39" s="16" customFormat="1" ht="28.4" customHeight="1">
      <c r="B28" s="288" t="str">
        <f t="shared" si="2"/>
        <v>Delivery of DWMPs</v>
      </c>
      <c r="C28" s="293" t="str">
        <f>IF($I$3="Select company","",IF(HLOOKUP('3A'!$R$1,B_NFIN_All,'PC lists'!$B91,0)="","",HLOOKUP('3A'!$R$1,B_NFIN_All,'PC lists'!$B91,0)))</f>
        <v>PR19NES_BES32</v>
      </c>
      <c r="D28" s="293" t="str">
        <f t="shared" si="3"/>
        <v>%</v>
      </c>
      <c r="E28" s="293">
        <f t="shared" si="4"/>
        <v>0</v>
      </c>
      <c r="F28" s="1822">
        <v>100</v>
      </c>
      <c r="G28" s="1822" t="s">
        <v>961</v>
      </c>
      <c r="I28" s="292" t="s">
        <v>555</v>
      </c>
      <c r="K28" s="326">
        <f t="shared" si="8"/>
        <v>0</v>
      </c>
      <c r="L28" s="338"/>
      <c r="U28" s="320"/>
      <c r="V28" s="325"/>
      <c r="W28" s="325">
        <f t="shared" si="5"/>
        <v>0</v>
      </c>
      <c r="X28" s="325">
        <f t="shared" si="6"/>
        <v>0</v>
      </c>
      <c r="Y28" s="325"/>
      <c r="Z28" s="325"/>
      <c r="AA28" s="320"/>
      <c r="AD28" s="329"/>
      <c r="AF28" s="320"/>
      <c r="AH28" s="288" t="str">
        <f t="shared" si="7"/>
        <v>Delivery of DWMPs</v>
      </c>
      <c r="AI28" s="288" t="str">
        <f t="shared" si="7"/>
        <v>PR19NES_BES32</v>
      </c>
      <c r="AJ28" s="288" t="str">
        <f t="shared" si="7"/>
        <v>%</v>
      </c>
      <c r="AK28" s="288">
        <f t="shared" si="7"/>
        <v>0</v>
      </c>
      <c r="AL28" s="1468" t="s">
        <v>556</v>
      </c>
      <c r="AM28" s="1457" t="s">
        <v>557</v>
      </c>
    </row>
    <row r="29" spans="2:39" s="16" customFormat="1" ht="28.4" customHeight="1">
      <c r="B29" s="288" t="str">
        <f t="shared" si="2"/>
        <v/>
      </c>
      <c r="C29" s="293" t="str">
        <f>IF($I$3="Select company","",IF(HLOOKUP('3A'!$R$1,B_NFIN_All,'PC lists'!$B92,0)="","",HLOOKUP('3A'!$R$1,B_NFIN_All,'PC lists'!$B92,0)))</f>
        <v/>
      </c>
      <c r="D29" s="293" t="str">
        <f t="shared" si="3"/>
        <v/>
      </c>
      <c r="E29" s="293" t="str">
        <f t="shared" si="4"/>
        <v/>
      </c>
      <c r="F29" s="1822"/>
      <c r="G29" s="1822"/>
      <c r="I29" s="292" t="s">
        <v>558</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559</v>
      </c>
      <c r="AM29" s="1457" t="s">
        <v>560</v>
      </c>
    </row>
    <row r="30" spans="2:39" s="16" customFormat="1" ht="28.4" customHeight="1">
      <c r="B30" s="288" t="str">
        <f t="shared" si="2"/>
        <v/>
      </c>
      <c r="C30" s="293" t="str">
        <f>IF($I$3="Select company","",IF(HLOOKUP('3A'!$R$1,B_NFIN_All,'PC lists'!$B93,0)="","",HLOOKUP('3A'!$R$1,B_NFIN_All,'PC lists'!$B93,0)))</f>
        <v/>
      </c>
      <c r="D30" s="293" t="str">
        <f t="shared" si="3"/>
        <v/>
      </c>
      <c r="E30" s="293" t="str">
        <f t="shared" si="4"/>
        <v/>
      </c>
      <c r="F30" s="1822"/>
      <c r="G30" s="1822"/>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562</v>
      </c>
      <c r="AM30" s="1457" t="s">
        <v>563</v>
      </c>
    </row>
    <row r="31" spans="2:39" s="16" customFormat="1" ht="28.4" customHeight="1">
      <c r="B31" s="288" t="str">
        <f t="shared" si="2"/>
        <v/>
      </c>
      <c r="C31" s="293" t="str">
        <f>IF($I$3="Select company","",IF(HLOOKUP('3A'!$R$1,B_NFIN_All,'PC lists'!$B94,0)="","",HLOOKUP('3A'!$R$1,B_NFIN_All,'PC lists'!$B94,0)))</f>
        <v/>
      </c>
      <c r="D31" s="293" t="str">
        <f t="shared" si="3"/>
        <v/>
      </c>
      <c r="E31" s="293" t="str">
        <f t="shared" si="4"/>
        <v/>
      </c>
      <c r="F31" s="1822"/>
      <c r="G31" s="1822"/>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565</v>
      </c>
      <c r="AM31" s="1457" t="s">
        <v>566</v>
      </c>
    </row>
    <row r="32" spans="2:39" s="16" customFormat="1" ht="28.4" customHeight="1">
      <c r="B32" s="288" t="str">
        <f t="shared" si="2"/>
        <v/>
      </c>
      <c r="C32" s="293" t="str">
        <f>IF($I$3="Select company","",IF(HLOOKUP('3A'!$R$1,B_NFIN_All,'PC lists'!$B95,0)="","",HLOOKUP('3A'!$R$1,B_NFIN_All,'PC lists'!$B95,0)))</f>
        <v/>
      </c>
      <c r="D32" s="293" t="str">
        <f t="shared" si="3"/>
        <v/>
      </c>
      <c r="E32" s="293" t="str">
        <f t="shared" si="4"/>
        <v/>
      </c>
      <c r="F32" s="1822"/>
      <c r="G32" s="1822"/>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568</v>
      </c>
      <c r="AM32" s="1457" t="s">
        <v>569</v>
      </c>
    </row>
    <row r="33" spans="2:39" s="9" customFormat="1" ht="28.4"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570</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571</v>
      </c>
      <c r="AM33" s="1457" t="s">
        <v>572</v>
      </c>
    </row>
    <row r="34" spans="2:39" s="9" customFormat="1" ht="28.4"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573</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574</v>
      </c>
      <c r="AM34" s="1457" t="s">
        <v>575</v>
      </c>
    </row>
    <row r="35" spans="2:39" s="9" customFormat="1" ht="28.4"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576</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577</v>
      </c>
      <c r="AM35" s="1457" t="s">
        <v>578</v>
      </c>
    </row>
    <row r="36" spans="2:39" s="9" customFormat="1" ht="28.4"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579</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580</v>
      </c>
      <c r="AM36" s="1457" t="s">
        <v>581</v>
      </c>
    </row>
    <row r="37" spans="2:39" s="9" customFormat="1" ht="28.4"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582</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583</v>
      </c>
      <c r="AM37" s="1457" t="s">
        <v>584</v>
      </c>
    </row>
    <row r="38" spans="2:39" s="9" customFormat="1" ht="28.4"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585</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586</v>
      </c>
      <c r="AM38" s="1457" t="s">
        <v>587</v>
      </c>
    </row>
    <row r="39" spans="2:39" s="9" customFormat="1" ht="14.5">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5">
      <c r="B40" s="288" t="s">
        <v>588</v>
      </c>
      <c r="C40" s="348"/>
      <c r="D40" s="293" t="s">
        <v>293</v>
      </c>
      <c r="E40" s="293">
        <v>0</v>
      </c>
      <c r="F40" s="345"/>
      <c r="G40" s="1836">
        <f>IFERROR((COUNTIF($G$9:$G$38,"Yes")/(COUNTA($G$9:$G$38) - COUNTIF($G$9:$G$38,"-")))*100,"")</f>
        <v>83.333333333333343</v>
      </c>
      <c r="H40" s="1356"/>
      <c r="I40" s="292" t="s">
        <v>589</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590</v>
      </c>
    </row>
    <row r="41" spans="2:39" s="9" customFormat="1" ht="14.5">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5">
      <c r="B42" s="276" t="s">
        <v>299</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5">
      <c r="K43" s="1356"/>
      <c r="L43" s="1356"/>
    </row>
    <row r="44" spans="2:39" ht="14.5">
      <c r="B44" s="1818" t="s">
        <v>300</v>
      </c>
      <c r="K44" s="1356"/>
      <c r="L44" s="1356"/>
    </row>
    <row r="45" spans="2:39">
      <c r="B45" s="371"/>
    </row>
    <row r="46" spans="2:39">
      <c r="B46" s="1968" t="s">
        <v>301</v>
      </c>
    </row>
    <row r="47" spans="2:39"/>
    <row r="48" spans="2:39">
      <c r="B48" s="1819" t="s">
        <v>302</v>
      </c>
    </row>
    <row r="49" spans="2:2"/>
    <row r="50" spans="2:2">
      <c r="B50" s="1820" t="s">
        <v>303</v>
      </c>
    </row>
    <row r="51" spans="2:2"/>
    <row r="52" spans="2:2" ht="14.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12" ma:contentTypeDescription="Create a new document." ma:contentTypeScope="" ma:versionID="12c4954957b906b8fe940a4c25c01e2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320cdb293c384169cb4a78fd02d7f3bf" ns2:_="" ns3:_="">
    <xsd:import namespace="00921376-d922-4dca-8599-7278d2306920"/>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Props1.xml><?xml version="1.0" encoding="utf-8"?>
<ds:datastoreItem xmlns:ds="http://schemas.openxmlformats.org/officeDocument/2006/customXml" ds:itemID="{BCE96383-DE7E-471B-B198-FF7C3F4753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3.xml><?xml version="1.0" encoding="utf-8"?>
<ds:datastoreItem xmlns:ds="http://schemas.openxmlformats.org/officeDocument/2006/customXml" ds:itemID="{7EFC24AB-37E4-4E69-B14A-9C886F718C80}">
  <ds:schemaRefs>
    <ds:schemaRef ds:uri="http://schemas.microsoft.com/office/2006/metadata/properties"/>
    <ds:schemaRef ds:uri="http://schemas.microsoft.com/office/infopath/2007/PartnerControls"/>
    <ds:schemaRef ds:uri="00921376-d922-4dca-8599-7278d2306920"/>
    <ds:schemaRef ds:uri="71c95305-930c-4d63-9794-2d64434305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2023-11-06T14:56:49Z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diaServiceImageTags">
    <vt:lpwstr/>
  </property>
</Properties>
</file>