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showInkAnnotation="0" codeName="ThisWorkbook" defaultThemeVersion="124226"/>
  <xr:revisionPtr revIDLastSave="2" documentId="8_{B3EE2906-D76B-4B54-93A3-B8B6FD437860}" xr6:coauthVersionLast="47" xr6:coauthVersionMax="47" xr10:uidLastSave="{EA3D32FA-A8B7-4A5B-8A2F-98B1293CF8E4}"/>
  <bookViews>
    <workbookView xWindow="28680" yWindow="-120" windowWidth="29040" windowHeight="15840" tabRatio="710" activeTab="11" xr2:uid="{00000000-000D-0000-FFFF-FFFF00000000}"/>
  </bookViews>
  <sheets>
    <sheet name="Cover" sheetId="17" r:id="rId1"/>
    <sheet name="Style Guide" sheetId="2" r:id="rId2"/>
    <sheet name="ToC" sheetId="13" r:id="rId3"/>
    <sheet name="InpR" sheetId="7" r:id="rId4"/>
    <sheet name="Time" sheetId="8" r:id="rId5"/>
    <sheet name="Index" sheetId="16" r:id="rId6"/>
    <sheet name="Calcs-WR" sheetId="21" r:id="rId7"/>
    <sheet name="Calcs-WN" sheetId="12" r:id="rId8"/>
    <sheet name="Calcs-WWN" sheetId="22" r:id="rId9"/>
    <sheet name="Calcs-BR" sheetId="23" r:id="rId10"/>
    <sheet name="Calcs-DMMY" sheetId="24" r:id="rId11"/>
    <sheet name="Adjustments" sheetId="20" r:id="rId12"/>
    <sheet name="Checks" sheetId="9"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ChK_Tol">InpR!$F$117</definedName>
    <definedName name="_xlnm.Print_Titles" localSheetId="11">Adjustments!$A:$F,Adjustments!$1:$2</definedName>
    <definedName name="_xlnm.Print_Titles" localSheetId="9">'Calcs-BR'!$A:$F,'Calcs-BR'!$1:$2</definedName>
    <definedName name="_xlnm.Print_Titles" localSheetId="10">'Calcs-DMMY'!$A:$F,'Calcs-DMMY'!$1:$2</definedName>
    <definedName name="_xlnm.Print_Titles" localSheetId="7">'Calcs-WN'!$A:$F,'Calcs-WN'!$1:$2</definedName>
    <definedName name="_xlnm.Print_Titles" localSheetId="6">'Calcs-WR'!$A:$F,'Calcs-WR'!$1:$2</definedName>
    <definedName name="_xlnm.Print_Titles" localSheetId="8">'Calcs-WWN'!$A:$F,'Calcs-WWN'!$1:$2</definedName>
    <definedName name="_xlnm.Print_Titles" localSheetId="12">Checks!$A:$F,Checks!$1:$3</definedName>
    <definedName name="_xlnm.Print_Titles" localSheetId="5">Index!$A:$F,Index!$1:$2</definedName>
    <definedName name="_xlnm.Print_Titles" localSheetId="3">InpR!$A:$F,InpR!$1:$3</definedName>
    <definedName name="_xlnm.Print_Titles" localSheetId="4">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9" l="1"/>
  <c r="E18" i="9"/>
  <c r="G17" i="9"/>
  <c r="E17" i="9"/>
  <c r="G16" i="9"/>
  <c r="E16" i="9"/>
  <c r="G14" i="9"/>
  <c r="E14" i="9"/>
  <c r="G15" i="9"/>
  <c r="E15" i="9"/>
  <c r="J11" i="16" l="1"/>
  <c r="J12" i="16"/>
  <c r="J13" i="16"/>
  <c r="J14" i="16"/>
  <c r="J15" i="16"/>
  <c r="J16" i="16"/>
  <c r="J17" i="16"/>
  <c r="J18" i="16"/>
  <c r="J19" i="16"/>
  <c r="J20" i="16"/>
  <c r="J21" i="16"/>
  <c r="J22" i="16"/>
  <c r="J75" i="16"/>
  <c r="J76" i="16"/>
  <c r="J77" i="16"/>
  <c r="J78" i="16"/>
  <c r="J79" i="16"/>
  <c r="J80" i="16"/>
  <c r="J81" i="16"/>
  <c r="J82" i="16"/>
  <c r="J83" i="16"/>
  <c r="J84" i="16"/>
  <c r="J85" i="16"/>
  <c r="J86" i="16"/>
  <c r="G137" i="24" l="1"/>
  <c r="E137" i="24"/>
  <c r="G82" i="24"/>
  <c r="E82" i="24"/>
  <c r="G31" i="24"/>
  <c r="E31" i="24"/>
  <c r="G137" i="23"/>
  <c r="E137" i="23"/>
  <c r="G82" i="23"/>
  <c r="E82" i="23"/>
  <c r="G31" i="23"/>
  <c r="E31" i="23"/>
  <c r="G137" i="22"/>
  <c r="E137" i="22"/>
  <c r="G82" i="22"/>
  <c r="E82" i="22"/>
  <c r="G31" i="22"/>
  <c r="E31" i="22"/>
  <c r="G137" i="12"/>
  <c r="E137" i="12"/>
  <c r="G82" i="12"/>
  <c r="E82" i="12"/>
  <c r="G31" i="12"/>
  <c r="E31" i="12"/>
  <c r="G31" i="21"/>
  <c r="E31" i="21"/>
  <c r="G82" i="21"/>
  <c r="E82" i="21"/>
  <c r="G137" i="21"/>
  <c r="E137" i="21"/>
  <c r="F137" i="22" l="1"/>
  <c r="F82" i="22"/>
  <c r="F82" i="24"/>
  <c r="F137" i="24"/>
  <c r="F82" i="23"/>
  <c r="F137" i="23"/>
  <c r="F31" i="21"/>
  <c r="F82" i="21"/>
  <c r="F82" i="12"/>
  <c r="F137" i="12"/>
  <c r="G83" i="8"/>
  <c r="F83" i="8"/>
  <c r="E83" i="8"/>
  <c r="G82" i="8"/>
  <c r="F82" i="8"/>
  <c r="E82" i="8"/>
  <c r="G48" i="8"/>
  <c r="E48" i="8"/>
  <c r="G38" i="8"/>
  <c r="F38" i="8"/>
  <c r="E38" i="8"/>
  <c r="G32" i="8"/>
  <c r="F32" i="8"/>
  <c r="E32" i="8"/>
  <c r="G17" i="8"/>
  <c r="E17" i="8"/>
  <c r="F17" i="8"/>
  <c r="F17" i="7"/>
  <c r="F48" i="8" s="1"/>
  <c r="L210" i="24"/>
  <c r="K210" i="24"/>
  <c r="J210" i="24"/>
  <c r="I210" i="24"/>
  <c r="H210" i="24"/>
  <c r="G210" i="24"/>
  <c r="F210" i="24"/>
  <c r="E210" i="24"/>
  <c r="L210" i="23"/>
  <c r="K210" i="23"/>
  <c r="J210" i="23"/>
  <c r="I210" i="23"/>
  <c r="H210" i="23"/>
  <c r="G210" i="23"/>
  <c r="F210" i="23"/>
  <c r="E210" i="23"/>
  <c r="L210" i="22"/>
  <c r="K210" i="22"/>
  <c r="J210" i="22"/>
  <c r="I210" i="22"/>
  <c r="H210" i="22"/>
  <c r="G210" i="22"/>
  <c r="F210" i="22"/>
  <c r="E210" i="22"/>
  <c r="L210" i="12"/>
  <c r="K210" i="12"/>
  <c r="J210" i="12"/>
  <c r="I210" i="12"/>
  <c r="H210" i="12"/>
  <c r="G210" i="12"/>
  <c r="F210" i="12"/>
  <c r="E210" i="12"/>
  <c r="L210" i="21"/>
  <c r="K210" i="21"/>
  <c r="J210" i="21"/>
  <c r="I210" i="21"/>
  <c r="H210" i="21"/>
  <c r="G210" i="21"/>
  <c r="F210" i="21"/>
  <c r="E210" i="21"/>
  <c r="L150" i="24"/>
  <c r="K150" i="24"/>
  <c r="J150" i="24"/>
  <c r="I150" i="24"/>
  <c r="H150" i="24"/>
  <c r="G150" i="24"/>
  <c r="F150" i="24"/>
  <c r="E150" i="24"/>
  <c r="L96" i="24"/>
  <c r="K96" i="24"/>
  <c r="J96" i="24"/>
  <c r="I96" i="24"/>
  <c r="H96" i="24"/>
  <c r="G96" i="24"/>
  <c r="F96" i="24"/>
  <c r="E96" i="24"/>
  <c r="L45" i="24"/>
  <c r="K45" i="24"/>
  <c r="J45" i="24"/>
  <c r="I45" i="24"/>
  <c r="H45" i="24"/>
  <c r="G45" i="24"/>
  <c r="F45" i="24"/>
  <c r="E45" i="24"/>
  <c r="L150" i="23"/>
  <c r="K150" i="23"/>
  <c r="J150" i="23"/>
  <c r="I150" i="23"/>
  <c r="H150" i="23"/>
  <c r="G150" i="23"/>
  <c r="F150" i="23"/>
  <c r="E150" i="23"/>
  <c r="L96" i="23"/>
  <c r="K96" i="23"/>
  <c r="J96" i="23"/>
  <c r="I96" i="23"/>
  <c r="H96" i="23"/>
  <c r="G96" i="23"/>
  <c r="F96" i="23"/>
  <c r="E96" i="23"/>
  <c r="L45" i="23"/>
  <c r="K45" i="23"/>
  <c r="J45" i="23"/>
  <c r="I45" i="23"/>
  <c r="H45" i="23"/>
  <c r="G45" i="23"/>
  <c r="F45" i="23"/>
  <c r="E45" i="23"/>
  <c r="L150" i="22"/>
  <c r="K150" i="22"/>
  <c r="J150" i="22"/>
  <c r="I150" i="22"/>
  <c r="H150" i="22"/>
  <c r="G150" i="22"/>
  <c r="F150" i="22"/>
  <c r="E150" i="22"/>
  <c r="L96" i="22"/>
  <c r="K96" i="22"/>
  <c r="J96" i="22"/>
  <c r="I96" i="22"/>
  <c r="H96" i="22"/>
  <c r="G96" i="22"/>
  <c r="F96" i="22"/>
  <c r="E96" i="22"/>
  <c r="L45" i="22"/>
  <c r="K45" i="22"/>
  <c r="J45" i="22"/>
  <c r="I45" i="22"/>
  <c r="H45" i="22"/>
  <c r="G45" i="22"/>
  <c r="F45" i="22"/>
  <c r="E45" i="22"/>
  <c r="L150" i="12"/>
  <c r="K150" i="12"/>
  <c r="J150" i="12"/>
  <c r="I150" i="12"/>
  <c r="H150" i="12"/>
  <c r="G150" i="12"/>
  <c r="F150" i="12"/>
  <c r="E150" i="12"/>
  <c r="L96" i="12"/>
  <c r="K96" i="12"/>
  <c r="J96" i="12"/>
  <c r="I96" i="12"/>
  <c r="H96" i="12"/>
  <c r="G96" i="12"/>
  <c r="F96" i="12"/>
  <c r="E96" i="12"/>
  <c r="L45" i="12"/>
  <c r="K45" i="12"/>
  <c r="J45" i="12"/>
  <c r="I45" i="12"/>
  <c r="H45" i="12"/>
  <c r="G45" i="12"/>
  <c r="F45" i="12"/>
  <c r="E45" i="12"/>
  <c r="L150" i="21"/>
  <c r="K150" i="21"/>
  <c r="J150" i="21"/>
  <c r="I150" i="21"/>
  <c r="H150" i="21"/>
  <c r="G150" i="21"/>
  <c r="F150" i="21"/>
  <c r="E150" i="21"/>
  <c r="L96" i="21"/>
  <c r="K96" i="21"/>
  <c r="J96" i="21"/>
  <c r="I96" i="21"/>
  <c r="H96" i="21"/>
  <c r="G96" i="21"/>
  <c r="F96" i="21"/>
  <c r="E96" i="21"/>
  <c r="L45" i="21"/>
  <c r="K45" i="21"/>
  <c r="J45" i="21"/>
  <c r="I45" i="21"/>
  <c r="H45" i="21"/>
  <c r="G45" i="21"/>
  <c r="F45" i="21"/>
  <c r="E45" i="21"/>
  <c r="L132" i="24"/>
  <c r="K132" i="24"/>
  <c r="J132" i="24"/>
  <c r="I132" i="24"/>
  <c r="H132" i="24"/>
  <c r="G132" i="24"/>
  <c r="F132" i="24"/>
  <c r="E132" i="24"/>
  <c r="L77" i="24"/>
  <c r="K77" i="24"/>
  <c r="J77" i="24"/>
  <c r="I77" i="24"/>
  <c r="H77" i="24"/>
  <c r="G77" i="24"/>
  <c r="F77" i="24"/>
  <c r="E77" i="24"/>
  <c r="L26" i="24"/>
  <c r="K26" i="24"/>
  <c r="J26" i="24"/>
  <c r="I26" i="24"/>
  <c r="H26" i="24"/>
  <c r="G26" i="24"/>
  <c r="F26" i="24"/>
  <c r="E26" i="24"/>
  <c r="L132" i="23"/>
  <c r="K132" i="23"/>
  <c r="J132" i="23"/>
  <c r="I132" i="23"/>
  <c r="H132" i="23"/>
  <c r="G132" i="23"/>
  <c r="F132" i="23"/>
  <c r="E132" i="23"/>
  <c r="L77" i="23"/>
  <c r="K77" i="23"/>
  <c r="J77" i="23"/>
  <c r="I77" i="23"/>
  <c r="H77" i="23"/>
  <c r="G77" i="23"/>
  <c r="F77" i="23"/>
  <c r="E77" i="23"/>
  <c r="L26" i="23"/>
  <c r="K26" i="23"/>
  <c r="J26" i="23"/>
  <c r="I26" i="23"/>
  <c r="H26" i="23"/>
  <c r="G26" i="23"/>
  <c r="F26" i="23"/>
  <c r="E26" i="23"/>
  <c r="L132" i="22"/>
  <c r="K132" i="22"/>
  <c r="J132" i="22"/>
  <c r="I132" i="22"/>
  <c r="H132" i="22"/>
  <c r="G132" i="22"/>
  <c r="F132" i="22"/>
  <c r="E132" i="22"/>
  <c r="L77" i="22"/>
  <c r="K77" i="22"/>
  <c r="J77" i="22"/>
  <c r="I77" i="22"/>
  <c r="H77" i="22"/>
  <c r="G77" i="22"/>
  <c r="F77" i="22"/>
  <c r="E77" i="22"/>
  <c r="L26" i="22"/>
  <c r="K26" i="22"/>
  <c r="J26" i="22"/>
  <c r="I26" i="22"/>
  <c r="H26" i="22"/>
  <c r="G26" i="22"/>
  <c r="F26" i="22"/>
  <c r="E26" i="22"/>
  <c r="L132" i="12"/>
  <c r="K132" i="12"/>
  <c r="J132" i="12"/>
  <c r="I132" i="12"/>
  <c r="H132" i="12"/>
  <c r="G132" i="12"/>
  <c r="F132" i="12"/>
  <c r="E132" i="12"/>
  <c r="L77" i="12"/>
  <c r="K77" i="12"/>
  <c r="J77" i="12"/>
  <c r="I77" i="12"/>
  <c r="H77" i="12"/>
  <c r="G77" i="12"/>
  <c r="F77" i="12"/>
  <c r="E77" i="12"/>
  <c r="L26" i="12"/>
  <c r="K26" i="12"/>
  <c r="J26" i="12"/>
  <c r="I26" i="12"/>
  <c r="H26" i="12"/>
  <c r="G26" i="12"/>
  <c r="F26" i="12"/>
  <c r="E26" i="12"/>
  <c r="L132" i="21"/>
  <c r="K132" i="21"/>
  <c r="J132" i="21"/>
  <c r="I132" i="21"/>
  <c r="H132" i="21"/>
  <c r="G132" i="21"/>
  <c r="F132" i="21"/>
  <c r="E132" i="21"/>
  <c r="L77" i="21"/>
  <c r="K77" i="21"/>
  <c r="J77" i="21"/>
  <c r="I77" i="21"/>
  <c r="H77" i="21"/>
  <c r="G77" i="21"/>
  <c r="F77" i="21"/>
  <c r="E77" i="21"/>
  <c r="L26" i="21"/>
  <c r="K26" i="21"/>
  <c r="J26" i="21"/>
  <c r="I26" i="21"/>
  <c r="H26" i="21"/>
  <c r="G26" i="21"/>
  <c r="F26" i="21"/>
  <c r="E26" i="21"/>
  <c r="G30" i="20"/>
  <c r="E30" i="20"/>
  <c r="G29" i="20"/>
  <c r="E29" i="20"/>
  <c r="H28" i="20"/>
  <c r="G28" i="20"/>
  <c r="E28" i="20"/>
  <c r="G25" i="20"/>
  <c r="E25" i="20"/>
  <c r="G24" i="20"/>
  <c r="E24" i="20"/>
  <c r="H23" i="20"/>
  <c r="G23" i="20"/>
  <c r="E23" i="20"/>
  <c r="G20" i="20"/>
  <c r="E20" i="20"/>
  <c r="G19" i="20"/>
  <c r="E19" i="20"/>
  <c r="H18" i="20"/>
  <c r="G18" i="20"/>
  <c r="E18" i="20"/>
  <c r="G10" i="20"/>
  <c r="E10" i="20"/>
  <c r="G9" i="20"/>
  <c r="E9" i="20"/>
  <c r="H8" i="20"/>
  <c r="G8" i="20"/>
  <c r="E8" i="20"/>
  <c r="I220" i="24"/>
  <c r="H220" i="24"/>
  <c r="G220" i="24"/>
  <c r="F220" i="24"/>
  <c r="E220" i="24"/>
  <c r="I219" i="24"/>
  <c r="G219" i="24"/>
  <c r="F219" i="24"/>
  <c r="E219" i="24"/>
  <c r="I215" i="24"/>
  <c r="H215" i="24"/>
  <c r="G215" i="24"/>
  <c r="F215" i="24"/>
  <c r="E215" i="24"/>
  <c r="I214" i="24"/>
  <c r="G214" i="24"/>
  <c r="F214" i="24"/>
  <c r="E214" i="24"/>
  <c r="R209" i="24"/>
  <c r="Q209" i="24"/>
  <c r="P209" i="24"/>
  <c r="O209" i="24"/>
  <c r="N209" i="24"/>
  <c r="M209" i="24"/>
  <c r="L209" i="24"/>
  <c r="K209" i="24"/>
  <c r="J209" i="24"/>
  <c r="I209" i="24"/>
  <c r="H209" i="24"/>
  <c r="G209" i="24"/>
  <c r="F209" i="24"/>
  <c r="E209" i="24"/>
  <c r="F205"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E173" i="24"/>
  <c r="E172"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G194" i="24" s="1"/>
  <c r="G205" i="24" s="1"/>
  <c r="F155" i="24"/>
  <c r="E155" i="24"/>
  <c r="I152" i="24"/>
  <c r="H152" i="24"/>
  <c r="G152" i="24"/>
  <c r="F152" i="24"/>
  <c r="E152" i="24"/>
  <c r="I151" i="24"/>
  <c r="G151" i="24"/>
  <c r="F151" i="24"/>
  <c r="E151"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28" i="24" s="1"/>
  <c r="I138" i="24"/>
  <c r="G138" i="24"/>
  <c r="F138" i="24"/>
  <c r="E138" i="24"/>
  <c r="I134" i="24"/>
  <c r="H134" i="24"/>
  <c r="G134" i="24"/>
  <c r="F134" i="24"/>
  <c r="E134" i="24"/>
  <c r="I133" i="24"/>
  <c r="H133" i="24"/>
  <c r="G133" i="24"/>
  <c r="F133" i="24"/>
  <c r="E133" i="24"/>
  <c r="I129" i="24"/>
  <c r="H129" i="24"/>
  <c r="G129" i="24"/>
  <c r="F129" i="24"/>
  <c r="E129" i="24"/>
  <c r="I128" i="24"/>
  <c r="H128" i="24"/>
  <c r="G128" i="24"/>
  <c r="F128" i="24"/>
  <c r="E128" i="24"/>
  <c r="J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73" i="24" s="1"/>
  <c r="I83" i="24"/>
  <c r="G83" i="24"/>
  <c r="F83" i="24"/>
  <c r="E83" i="24"/>
  <c r="I79" i="24"/>
  <c r="H79" i="24"/>
  <c r="G79" i="24"/>
  <c r="F79" i="24"/>
  <c r="E79" i="24"/>
  <c r="I78" i="24"/>
  <c r="H78" i="24"/>
  <c r="G78" i="24"/>
  <c r="F78" i="24"/>
  <c r="E78" i="24"/>
  <c r="I74" i="24"/>
  <c r="H74" i="24"/>
  <c r="G74" i="24"/>
  <c r="F74" i="24"/>
  <c r="E74" i="24"/>
  <c r="I73" i="24"/>
  <c r="H73" i="24"/>
  <c r="G73" i="24"/>
  <c r="F73" i="24"/>
  <c r="E73" i="24"/>
  <c r="J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I41" i="24"/>
  <c r="H41" i="24"/>
  <c r="G41" i="24"/>
  <c r="F41" i="24"/>
  <c r="E41" i="24"/>
  <c r="I40" i="24"/>
  <c r="H40" i="24"/>
  <c r="G40" i="24"/>
  <c r="F40" i="24"/>
  <c r="E40" i="24"/>
  <c r="I36" i="24"/>
  <c r="H36" i="24"/>
  <c r="G36" i="24"/>
  <c r="F36" i="24"/>
  <c r="E36" i="24"/>
  <c r="I35" i="24"/>
  <c r="H35" i="24"/>
  <c r="G35" i="24"/>
  <c r="F35" i="24"/>
  <c r="E35" i="24"/>
  <c r="J34" i="24"/>
  <c r="I32" i="24"/>
  <c r="G32" i="24"/>
  <c r="F32" i="24"/>
  <c r="E32" i="24"/>
  <c r="I28" i="24"/>
  <c r="H28" i="24"/>
  <c r="G28" i="24"/>
  <c r="F28" i="24"/>
  <c r="E28" i="24"/>
  <c r="I27" i="24"/>
  <c r="I39" i="24" s="1"/>
  <c r="H27" i="24"/>
  <c r="H39" i="24" s="1"/>
  <c r="G27" i="24"/>
  <c r="G39" i="24" s="1"/>
  <c r="F27" i="24"/>
  <c r="F39" i="24" s="1"/>
  <c r="E27" i="24"/>
  <c r="E39" i="24" s="1"/>
  <c r="I23" i="24"/>
  <c r="H23" i="24"/>
  <c r="G23" i="24"/>
  <c r="F23" i="24"/>
  <c r="E23" i="24"/>
  <c r="I22" i="24"/>
  <c r="H22" i="24"/>
  <c r="G22" i="24"/>
  <c r="F22" i="24"/>
  <c r="E22" i="24"/>
  <c r="I18" i="24"/>
  <c r="H18" i="24"/>
  <c r="G18" i="24"/>
  <c r="F18" i="24"/>
  <c r="E18" i="24"/>
  <c r="I17" i="24"/>
  <c r="G17" i="24"/>
  <c r="F17" i="24"/>
  <c r="E17" i="24"/>
  <c r="J14" i="24"/>
  <c r="H14" i="24"/>
  <c r="G14" i="24"/>
  <c r="F14" i="24"/>
  <c r="E14" i="24"/>
  <c r="I13" i="24"/>
  <c r="H13" i="24"/>
  <c r="G13" i="24"/>
  <c r="F13" i="24"/>
  <c r="E13" i="24"/>
  <c r="E6" i="24"/>
  <c r="E3" i="24"/>
  <c r="E2" i="24"/>
  <c r="A1" i="24"/>
  <c r="D23" i="13" s="1"/>
  <c r="I220" i="23"/>
  <c r="H220" i="23"/>
  <c r="G220" i="23"/>
  <c r="F220" i="23"/>
  <c r="E220" i="23"/>
  <c r="I219" i="23"/>
  <c r="G219" i="23"/>
  <c r="F219" i="23"/>
  <c r="E219" i="23"/>
  <c r="I215" i="23"/>
  <c r="H215" i="23"/>
  <c r="G215" i="23"/>
  <c r="F215" i="23"/>
  <c r="E215" i="23"/>
  <c r="I214" i="23"/>
  <c r="G214" i="23"/>
  <c r="F214" i="23"/>
  <c r="E214" i="23"/>
  <c r="R209" i="23"/>
  <c r="Q209" i="23"/>
  <c r="P209" i="23"/>
  <c r="O209" i="23"/>
  <c r="N209" i="23"/>
  <c r="M209" i="23"/>
  <c r="L209" i="23"/>
  <c r="K209" i="23"/>
  <c r="J209" i="23"/>
  <c r="I209" i="23"/>
  <c r="H209" i="23"/>
  <c r="G209" i="23"/>
  <c r="F209" i="23"/>
  <c r="E209" i="23"/>
  <c r="F205"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E173" i="23"/>
  <c r="E172"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G194" i="23" s="1"/>
  <c r="G205" i="23" s="1"/>
  <c r="F155" i="23"/>
  <c r="E155" i="23"/>
  <c r="I152" i="23"/>
  <c r="H152" i="23"/>
  <c r="G152" i="23"/>
  <c r="F152" i="23"/>
  <c r="E152" i="23"/>
  <c r="I151" i="23"/>
  <c r="G151" i="23"/>
  <c r="F151" i="23"/>
  <c r="E151"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I134" i="23"/>
  <c r="H134" i="23"/>
  <c r="G134" i="23"/>
  <c r="F134" i="23"/>
  <c r="E134" i="23"/>
  <c r="I133" i="23"/>
  <c r="H133" i="23"/>
  <c r="G133" i="23"/>
  <c r="F133" i="23"/>
  <c r="E133" i="23"/>
  <c r="I129" i="23"/>
  <c r="H129" i="23"/>
  <c r="G129" i="23"/>
  <c r="F129" i="23"/>
  <c r="E129" i="23"/>
  <c r="I128" i="23"/>
  <c r="H128" i="23"/>
  <c r="G128" i="23"/>
  <c r="F128" i="23"/>
  <c r="E128" i="23"/>
  <c r="J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I79" i="23"/>
  <c r="H79" i="23"/>
  <c r="G79" i="23"/>
  <c r="F79" i="23"/>
  <c r="E79" i="23"/>
  <c r="I78" i="23"/>
  <c r="H78" i="23"/>
  <c r="G78" i="23"/>
  <c r="F78" i="23"/>
  <c r="E78" i="23"/>
  <c r="I74" i="23"/>
  <c r="H74" i="23"/>
  <c r="G74" i="23"/>
  <c r="F74" i="23"/>
  <c r="E74" i="23"/>
  <c r="I73" i="23"/>
  <c r="H73" i="23"/>
  <c r="G73" i="23"/>
  <c r="F73" i="23"/>
  <c r="E73" i="23"/>
  <c r="J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I28" i="23"/>
  <c r="H28" i="23"/>
  <c r="G28" i="23"/>
  <c r="F28" i="23"/>
  <c r="E28" i="23"/>
  <c r="I27" i="23"/>
  <c r="I39" i="23" s="1"/>
  <c r="H27" i="23"/>
  <c r="H39" i="23" s="1"/>
  <c r="G27" i="23"/>
  <c r="G39" i="23" s="1"/>
  <c r="F27" i="23"/>
  <c r="F39" i="23" s="1"/>
  <c r="E27" i="23"/>
  <c r="E39" i="23" s="1"/>
  <c r="I23" i="23"/>
  <c r="H23" i="23"/>
  <c r="G23" i="23"/>
  <c r="F23" i="23"/>
  <c r="E23" i="23"/>
  <c r="I22" i="23"/>
  <c r="H22" i="23"/>
  <c r="G22" i="23"/>
  <c r="F22" i="23"/>
  <c r="E22" i="23"/>
  <c r="I18" i="23"/>
  <c r="H18" i="23"/>
  <c r="G18" i="23"/>
  <c r="F18" i="23"/>
  <c r="E18" i="23"/>
  <c r="I17" i="23"/>
  <c r="G17" i="23"/>
  <c r="F17" i="23"/>
  <c r="E17" i="23"/>
  <c r="J14" i="23"/>
  <c r="H14" i="23"/>
  <c r="G14" i="23"/>
  <c r="F14" i="23"/>
  <c r="E14" i="23"/>
  <c r="I13" i="23"/>
  <c r="H13" i="23"/>
  <c r="G13" i="23"/>
  <c r="F13" i="23"/>
  <c r="E13" i="23"/>
  <c r="E6" i="23"/>
  <c r="E3" i="23"/>
  <c r="E2" i="23"/>
  <c r="A1" i="23"/>
  <c r="D20" i="13" s="1"/>
  <c r="I220" i="22"/>
  <c r="H220" i="22"/>
  <c r="G220" i="22"/>
  <c r="F220" i="22"/>
  <c r="E220" i="22"/>
  <c r="I219" i="22"/>
  <c r="G219" i="22"/>
  <c r="F219" i="22"/>
  <c r="E219" i="22"/>
  <c r="I215" i="22"/>
  <c r="H215" i="22"/>
  <c r="G215" i="22"/>
  <c r="F215" i="22"/>
  <c r="E215" i="22"/>
  <c r="I214" i="22"/>
  <c r="G214" i="22"/>
  <c r="F214" i="22"/>
  <c r="E214" i="22"/>
  <c r="R209" i="22"/>
  <c r="Q209" i="22"/>
  <c r="P209" i="22"/>
  <c r="O209" i="22"/>
  <c r="N209" i="22"/>
  <c r="M209" i="22"/>
  <c r="L209" i="22"/>
  <c r="K209" i="22"/>
  <c r="J209" i="22"/>
  <c r="I209" i="22"/>
  <c r="H209" i="22"/>
  <c r="G209" i="22"/>
  <c r="F209" i="22"/>
  <c r="E209" i="22"/>
  <c r="F205"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E173" i="22"/>
  <c r="E172"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G191" i="22" s="1"/>
  <c r="G204" i="22" s="1"/>
  <c r="F155" i="22"/>
  <c r="E155" i="22"/>
  <c r="I152" i="22"/>
  <c r="H152" i="22"/>
  <c r="G152" i="22"/>
  <c r="F152" i="22"/>
  <c r="E152" i="22"/>
  <c r="I151" i="22"/>
  <c r="G151" i="22"/>
  <c r="F151" i="22"/>
  <c r="E151"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I134" i="22"/>
  <c r="H134" i="22"/>
  <c r="G134" i="22"/>
  <c r="F134" i="22"/>
  <c r="E134" i="22"/>
  <c r="I133" i="22"/>
  <c r="H133" i="22"/>
  <c r="G133" i="22"/>
  <c r="F133" i="22"/>
  <c r="E133" i="22"/>
  <c r="I129" i="22"/>
  <c r="H129" i="22"/>
  <c r="G129" i="22"/>
  <c r="F129" i="22"/>
  <c r="E129" i="22"/>
  <c r="I128" i="22"/>
  <c r="H128" i="22"/>
  <c r="G128" i="22"/>
  <c r="F128" i="22"/>
  <c r="E128" i="22"/>
  <c r="J125" i="22"/>
  <c r="H125" i="22"/>
  <c r="G125" i="22"/>
  <c r="F125" i="22"/>
  <c r="E125" i="22"/>
  <c r="I124" i="22"/>
  <c r="H124" i="22"/>
  <c r="G124" i="22"/>
  <c r="F124" i="22"/>
  <c r="E124" i="22"/>
  <c r="G116" i="22"/>
  <c r="G164" i="22" s="1"/>
  <c r="I115" i="22"/>
  <c r="F115" i="22"/>
  <c r="E115" i="22"/>
  <c r="I114" i="22"/>
  <c r="H114" i="22"/>
  <c r="G114" i="22"/>
  <c r="F114" i="22"/>
  <c r="E114" i="22"/>
  <c r="G108" i="22"/>
  <c r="G115"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8" i="22" s="1"/>
  <c r="I83" i="22"/>
  <c r="G83" i="22"/>
  <c r="F83" i="22"/>
  <c r="E83" i="22"/>
  <c r="I79" i="22"/>
  <c r="H79" i="22"/>
  <c r="G79" i="22"/>
  <c r="F79" i="22"/>
  <c r="E79" i="22"/>
  <c r="I78" i="22"/>
  <c r="H78" i="22"/>
  <c r="G78" i="22"/>
  <c r="F78" i="22"/>
  <c r="E78" i="22"/>
  <c r="I74" i="22"/>
  <c r="H74" i="22"/>
  <c r="G74" i="22"/>
  <c r="F74" i="22"/>
  <c r="E74" i="22"/>
  <c r="I73" i="22"/>
  <c r="H73" i="22"/>
  <c r="G73" i="22"/>
  <c r="F73" i="22"/>
  <c r="E73" i="22"/>
  <c r="J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I41" i="22"/>
  <c r="H41" i="22"/>
  <c r="G41" i="22"/>
  <c r="F41" i="22"/>
  <c r="E41" i="22"/>
  <c r="I40" i="22"/>
  <c r="H40" i="22"/>
  <c r="G40" i="22"/>
  <c r="F40" i="22"/>
  <c r="E40" i="22"/>
  <c r="I36" i="22"/>
  <c r="H36" i="22"/>
  <c r="G36" i="22"/>
  <c r="F36" i="22"/>
  <c r="E36" i="22"/>
  <c r="I35" i="22"/>
  <c r="H35" i="22"/>
  <c r="G35" i="22"/>
  <c r="F35" i="22"/>
  <c r="E35" i="22"/>
  <c r="J34" i="22"/>
  <c r="J27" i="22" s="1"/>
  <c r="J39" i="22" s="1"/>
  <c r="I32" i="22"/>
  <c r="G32" i="22"/>
  <c r="F32" i="22"/>
  <c r="E32" i="22"/>
  <c r="I28" i="22"/>
  <c r="H28" i="22"/>
  <c r="G28" i="22"/>
  <c r="F28" i="22"/>
  <c r="E28" i="22"/>
  <c r="I27" i="22"/>
  <c r="I39" i="22" s="1"/>
  <c r="H27" i="22"/>
  <c r="H39" i="22" s="1"/>
  <c r="G27" i="22"/>
  <c r="G39" i="22" s="1"/>
  <c r="F27" i="22"/>
  <c r="F39" i="22" s="1"/>
  <c r="E27" i="22"/>
  <c r="E39" i="22" s="1"/>
  <c r="I23" i="22"/>
  <c r="H23" i="22"/>
  <c r="G23" i="22"/>
  <c r="F23" i="22"/>
  <c r="E23" i="22"/>
  <c r="I22" i="22"/>
  <c r="H22" i="22"/>
  <c r="G22" i="22"/>
  <c r="F22" i="22"/>
  <c r="E22" i="22"/>
  <c r="I18" i="22"/>
  <c r="H18" i="22"/>
  <c r="G18" i="22"/>
  <c r="F18" i="22"/>
  <c r="E18" i="22"/>
  <c r="I17" i="22"/>
  <c r="G17" i="22"/>
  <c r="F17" i="22"/>
  <c r="E17" i="22"/>
  <c r="J14" i="22"/>
  <c r="H14" i="22"/>
  <c r="G14" i="22"/>
  <c r="F14" i="22"/>
  <c r="E14" i="22"/>
  <c r="I13" i="22"/>
  <c r="H13" i="22"/>
  <c r="G13" i="22"/>
  <c r="F13" i="22"/>
  <c r="E13" i="22"/>
  <c r="E6" i="22"/>
  <c r="E3" i="22"/>
  <c r="E2" i="22"/>
  <c r="A1" i="22"/>
  <c r="D17" i="13" s="1"/>
  <c r="I220" i="21"/>
  <c r="H220" i="21"/>
  <c r="G220" i="21"/>
  <c r="F220" i="21"/>
  <c r="E220" i="21"/>
  <c r="I219" i="21"/>
  <c r="G219" i="21"/>
  <c r="F219" i="21"/>
  <c r="E219" i="21"/>
  <c r="I215" i="21"/>
  <c r="H215" i="21"/>
  <c r="G215" i="21"/>
  <c r="F215" i="21"/>
  <c r="E215" i="21"/>
  <c r="I214" i="21"/>
  <c r="G214" i="21"/>
  <c r="F214" i="21"/>
  <c r="E214" i="21"/>
  <c r="R209" i="21"/>
  <c r="Q209" i="21"/>
  <c r="P209" i="21"/>
  <c r="O209" i="21"/>
  <c r="N209" i="21"/>
  <c r="M209" i="21"/>
  <c r="L209" i="21"/>
  <c r="K209" i="21"/>
  <c r="J209" i="21"/>
  <c r="I209" i="21"/>
  <c r="H209" i="21"/>
  <c r="G209" i="21"/>
  <c r="F209" i="21"/>
  <c r="E209" i="21"/>
  <c r="F205"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E173" i="21"/>
  <c r="E172"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G194" i="21" s="1"/>
  <c r="G205" i="21" s="1"/>
  <c r="F155" i="21"/>
  <c r="E155" i="21"/>
  <c r="I152" i="21"/>
  <c r="H152" i="21"/>
  <c r="G152" i="21"/>
  <c r="F152" i="21"/>
  <c r="E152" i="21"/>
  <c r="I151" i="21"/>
  <c r="G151" i="21"/>
  <c r="F151" i="21"/>
  <c r="E151"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I134" i="21"/>
  <c r="H134" i="21"/>
  <c r="G134" i="21"/>
  <c r="F134" i="21"/>
  <c r="E134" i="21"/>
  <c r="I133" i="21"/>
  <c r="H133" i="21"/>
  <c r="G133" i="21"/>
  <c r="F133" i="21"/>
  <c r="E133" i="21"/>
  <c r="I129" i="21"/>
  <c r="H129" i="21"/>
  <c r="G129" i="21"/>
  <c r="F129" i="21"/>
  <c r="E129" i="21"/>
  <c r="I128" i="21"/>
  <c r="H128" i="21"/>
  <c r="G128" i="21"/>
  <c r="F128" i="21"/>
  <c r="E128" i="21"/>
  <c r="J125" i="21"/>
  <c r="H125" i="21"/>
  <c r="G125" i="21"/>
  <c r="F125" i="21"/>
  <c r="E125" i="21"/>
  <c r="I124" i="21"/>
  <c r="H124" i="21"/>
  <c r="G124" i="21"/>
  <c r="F124" i="21"/>
  <c r="E124" i="21"/>
  <c r="G116" i="21"/>
  <c r="G164" i="21" s="1"/>
  <c r="I115" i="21"/>
  <c r="F115" i="21"/>
  <c r="E115" i="21"/>
  <c r="I114" i="21"/>
  <c r="H114" i="21"/>
  <c r="G114" i="21"/>
  <c r="F114" i="21"/>
  <c r="E114" i="21"/>
  <c r="G108" i="2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J90" i="21" s="1"/>
  <c r="I83" i="21"/>
  <c r="G83" i="21"/>
  <c r="F83" i="21"/>
  <c r="E83" i="21"/>
  <c r="I79" i="21"/>
  <c r="H79" i="21"/>
  <c r="G79" i="21"/>
  <c r="F79" i="21"/>
  <c r="E79" i="21"/>
  <c r="I78" i="21"/>
  <c r="H78" i="21"/>
  <c r="G78" i="21"/>
  <c r="F78" i="21"/>
  <c r="E78" i="21"/>
  <c r="I74" i="21"/>
  <c r="H74" i="21"/>
  <c r="G74" i="21"/>
  <c r="F74" i="21"/>
  <c r="E74" i="21"/>
  <c r="I73" i="21"/>
  <c r="H73" i="21"/>
  <c r="G73" i="21"/>
  <c r="F73" i="21"/>
  <c r="E73" i="21"/>
  <c r="J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I28" i="21"/>
  <c r="H28" i="21"/>
  <c r="G28" i="21"/>
  <c r="F28" i="21"/>
  <c r="E28" i="21"/>
  <c r="I27" i="21"/>
  <c r="I39" i="21" s="1"/>
  <c r="H27" i="21"/>
  <c r="H39" i="21" s="1"/>
  <c r="G27" i="21"/>
  <c r="G39" i="21" s="1"/>
  <c r="F27" i="21"/>
  <c r="F39" i="21" s="1"/>
  <c r="E27" i="21"/>
  <c r="E39" i="21" s="1"/>
  <c r="I23" i="21"/>
  <c r="H23" i="21"/>
  <c r="G23" i="21"/>
  <c r="F23" i="21"/>
  <c r="E23" i="21"/>
  <c r="I22" i="21"/>
  <c r="H22" i="21"/>
  <c r="G22" i="21"/>
  <c r="F22" i="21"/>
  <c r="E22" i="21"/>
  <c r="I18" i="21"/>
  <c r="H18" i="21"/>
  <c r="G18" i="21"/>
  <c r="F18" i="21"/>
  <c r="E18" i="21"/>
  <c r="I17" i="21"/>
  <c r="G17" i="21"/>
  <c r="F17" i="21"/>
  <c r="E17" i="21"/>
  <c r="J14" i="21"/>
  <c r="H14" i="21"/>
  <c r="G14" i="21"/>
  <c r="F14" i="21"/>
  <c r="E14" i="21"/>
  <c r="I13" i="21"/>
  <c r="H13" i="21"/>
  <c r="G13" i="21"/>
  <c r="F13" i="21"/>
  <c r="E13" i="21"/>
  <c r="E6" i="21"/>
  <c r="E3" i="21"/>
  <c r="E2" i="21"/>
  <c r="A1" i="21"/>
  <c r="D11" i="13" s="1"/>
  <c r="G15" i="20"/>
  <c r="E15" i="20"/>
  <c r="G14" i="20"/>
  <c r="E14" i="20"/>
  <c r="H13" i="20"/>
  <c r="G13" i="20"/>
  <c r="E13" i="20"/>
  <c r="F31" i="24"/>
  <c r="F31" i="22"/>
  <c r="F137" i="21"/>
  <c r="J73" i="23" l="1"/>
  <c r="J78" i="23"/>
  <c r="J128" i="23"/>
  <c r="J133" i="23"/>
  <c r="J73" i="21"/>
  <c r="J22" i="22"/>
  <c r="J133" i="24"/>
  <c r="G189" i="22"/>
  <c r="G196" i="22" s="1"/>
  <c r="J78" i="24"/>
  <c r="F31" i="23"/>
  <c r="J145" i="24"/>
  <c r="F31" i="12"/>
  <c r="G193" i="23"/>
  <c r="G201" i="23" s="1"/>
  <c r="J128" i="21"/>
  <c r="J133" i="22"/>
  <c r="G191" i="24"/>
  <c r="G204" i="24" s="1"/>
  <c r="J27" i="23"/>
  <c r="J39" i="23" s="1"/>
  <c r="J22" i="23"/>
  <c r="J27" i="24"/>
  <c r="J39" i="24" s="1"/>
  <c r="J22" i="24"/>
  <c r="J145" i="21"/>
  <c r="J90" i="22"/>
  <c r="J27" i="21"/>
  <c r="J39" i="21" s="1"/>
  <c r="G194" i="22"/>
  <c r="G205" i="22" s="1"/>
  <c r="G193" i="22"/>
  <c r="G201" i="22" s="1"/>
  <c r="J128" i="22"/>
  <c r="J90" i="24"/>
  <c r="G115" i="23"/>
  <c r="G189" i="24"/>
  <c r="G196" i="24" s="1"/>
  <c r="G191" i="23"/>
  <c r="G204" i="23" s="1"/>
  <c r="G193" i="24"/>
  <c r="G201" i="24" s="1"/>
  <c r="G189" i="23"/>
  <c r="G196" i="23" s="1"/>
  <c r="G115" i="24"/>
  <c r="G160" i="24"/>
  <c r="G157" i="24"/>
  <c r="G190" i="24"/>
  <c r="G200" i="24" s="1"/>
  <c r="G192" i="24"/>
  <c r="G197" i="24" s="1"/>
  <c r="G160" i="23"/>
  <c r="G157" i="23"/>
  <c r="G190" i="23"/>
  <c r="G200" i="23" s="1"/>
  <c r="G192" i="23"/>
  <c r="G197" i="23" s="1"/>
  <c r="J73" i="22"/>
  <c r="G160" i="22"/>
  <c r="G187" i="22"/>
  <c r="G157" i="22"/>
  <c r="G190" i="22"/>
  <c r="G200" i="22" s="1"/>
  <c r="G192" i="22"/>
  <c r="G197" i="22" s="1"/>
  <c r="J78" i="21"/>
  <c r="G160" i="21"/>
  <c r="G187" i="21"/>
  <c r="G115" i="21"/>
  <c r="G189" i="21"/>
  <c r="G196" i="21" s="1"/>
  <c r="G191" i="21"/>
  <c r="G204" i="21" s="1"/>
  <c r="G193" i="21"/>
  <c r="G201" i="21" s="1"/>
  <c r="G157" i="21"/>
  <c r="G190" i="21"/>
  <c r="G200" i="21" s="1"/>
  <c r="G192" i="21"/>
  <c r="G197" i="21" s="1"/>
  <c r="G184" i="24" l="1"/>
  <c r="G159" i="24"/>
  <c r="G184" i="23"/>
  <c r="G159" i="23"/>
  <c r="G184" i="22"/>
  <c r="G159" i="22"/>
  <c r="G184" i="21"/>
  <c r="G159" i="21"/>
  <c r="J70" i="7" l="1"/>
  <c r="J71" i="7"/>
  <c r="J72" i="7"/>
  <c r="J73" i="7"/>
  <c r="J74" i="7"/>
  <c r="J75" i="7"/>
  <c r="J76" i="7"/>
  <c r="J77" i="7"/>
  <c r="J78" i="7"/>
  <c r="J79" i="7"/>
  <c r="J80" i="7"/>
  <c r="J81" i="7"/>
  <c r="K58" i="7"/>
  <c r="K70" i="7"/>
  <c r="K71" i="7"/>
  <c r="K72" i="7"/>
  <c r="K73" i="7"/>
  <c r="K74" i="7"/>
  <c r="K75" i="7"/>
  <c r="K76" i="7"/>
  <c r="K77" i="7"/>
  <c r="K78" i="7"/>
  <c r="K79" i="7"/>
  <c r="K80" i="7"/>
  <c r="K81" i="7"/>
  <c r="K67" i="7" l="1"/>
  <c r="K62" i="7"/>
  <c r="K65" i="7"/>
  <c r="K63" i="7"/>
  <c r="K59" i="7"/>
  <c r="K57" i="7"/>
  <c r="K56" i="7" l="1"/>
  <c r="K60" i="7"/>
  <c r="K64" i="7"/>
  <c r="K61" i="7"/>
  <c r="K66" i="7"/>
  <c r="N26" i="24" l="1"/>
  <c r="N77" i="24"/>
  <c r="N132" i="24"/>
  <c r="O77" i="24"/>
  <c r="O132" i="24"/>
  <c r="O26" i="24"/>
  <c r="R132" i="24"/>
  <c r="R77" i="24"/>
  <c r="R26" i="24"/>
  <c r="M26" i="24"/>
  <c r="M77" i="24"/>
  <c r="M132" i="24"/>
  <c r="Q132" i="24"/>
  <c r="Q77" i="24"/>
  <c r="Q26" i="24"/>
  <c r="P77" i="24"/>
  <c r="P26" i="24"/>
  <c r="P132" i="24"/>
  <c r="M210" i="24" l="1"/>
  <c r="N210" i="24" l="1"/>
  <c r="M45" i="24" l="1"/>
  <c r="M96" i="24"/>
  <c r="M150" i="24"/>
  <c r="O210" i="24"/>
  <c r="N45" i="24" l="1"/>
  <c r="N96" i="24"/>
  <c r="N150" i="24"/>
  <c r="P210" i="24"/>
  <c r="O96" i="24" l="1"/>
  <c r="O45" i="24"/>
  <c r="O150" i="24"/>
  <c r="Q210" i="24"/>
  <c r="P96" i="24" l="1"/>
  <c r="P150" i="24"/>
  <c r="P45" i="24"/>
  <c r="Q150" i="24" l="1"/>
  <c r="Q45" i="24"/>
  <c r="Q96" i="24"/>
  <c r="R210" i="24"/>
  <c r="R150" i="24" l="1"/>
  <c r="R45" i="24"/>
  <c r="R96" i="24"/>
  <c r="E6" i="20" l="1"/>
  <c r="E3" i="20"/>
  <c r="E2" i="20"/>
  <c r="A1" i="20"/>
  <c r="F5" i="13" s="1"/>
  <c r="I183" i="12"/>
  <c r="H183" i="12"/>
  <c r="G183" i="12"/>
  <c r="F183" i="12"/>
  <c r="E183" i="12"/>
  <c r="I182" i="12"/>
  <c r="H182" i="12"/>
  <c r="G182" i="12"/>
  <c r="F182" i="12"/>
  <c r="E182" i="12"/>
  <c r="A1" i="17" l="1"/>
  <c r="B5" i="13" s="1"/>
  <c r="I176" i="12" l="1"/>
  <c r="H176" i="12"/>
  <c r="G176" i="12"/>
  <c r="F176" i="12"/>
  <c r="E176" i="12"/>
  <c r="E173" i="12"/>
  <c r="E172" i="12"/>
  <c r="I171" i="12"/>
  <c r="H171" i="12"/>
  <c r="G171" i="12"/>
  <c r="F171" i="12"/>
  <c r="E171" i="12"/>
  <c r="E170" i="12"/>
  <c r="E169" i="12"/>
  <c r="I170" i="12"/>
  <c r="H170" i="12"/>
  <c r="G170" i="12"/>
  <c r="F170" i="12"/>
  <c r="I169" i="12"/>
  <c r="H169" i="12"/>
  <c r="G169" i="12"/>
  <c r="F169" i="12"/>
  <c r="I219" i="12"/>
  <c r="G219" i="12"/>
  <c r="F219" i="12"/>
  <c r="E219" i="12"/>
  <c r="I220" i="12"/>
  <c r="H220" i="12"/>
  <c r="G220" i="12"/>
  <c r="F220" i="12"/>
  <c r="E220" i="12"/>
  <c r="I215" i="12"/>
  <c r="H215" i="12"/>
  <c r="G215" i="12"/>
  <c r="F215" i="12"/>
  <c r="I214" i="12"/>
  <c r="G214" i="12"/>
  <c r="F214" i="12"/>
  <c r="E215" i="12"/>
  <c r="E214" i="12"/>
  <c r="R209" i="12"/>
  <c r="Q209" i="12"/>
  <c r="P209" i="12"/>
  <c r="O209" i="12"/>
  <c r="N209" i="12"/>
  <c r="M209" i="12"/>
  <c r="L209" i="12"/>
  <c r="K209" i="12"/>
  <c r="J209" i="12"/>
  <c r="I209" i="12"/>
  <c r="H209" i="12"/>
  <c r="G209" i="12"/>
  <c r="F209" i="12"/>
  <c r="E209" i="12"/>
  <c r="I201" i="12"/>
  <c r="F201" i="12"/>
  <c r="I200" i="12"/>
  <c r="F200" i="12"/>
  <c r="I197" i="12"/>
  <c r="F197" i="12"/>
  <c r="I196" i="12"/>
  <c r="F196" i="12"/>
  <c r="F205" i="12" l="1"/>
  <c r="F204" i="12"/>
  <c r="I188" i="12"/>
  <c r="H188" i="12"/>
  <c r="G188" i="12"/>
  <c r="F188" i="12"/>
  <c r="I187" i="12"/>
  <c r="F187" i="12"/>
  <c r="I184" i="12"/>
  <c r="F184" i="12"/>
  <c r="E188" i="12"/>
  <c r="E184" i="12"/>
  <c r="E191" i="12" s="1"/>
  <c r="E187" i="12"/>
  <c r="E194" i="12" s="1"/>
  <c r="E204" i="12" l="1"/>
  <c r="E205" i="12"/>
  <c r="G116" i="12"/>
  <c r="G108" i="12"/>
  <c r="G187" i="12" s="1"/>
  <c r="G161" i="12"/>
  <c r="I126" i="16" l="1"/>
  <c r="G126" i="16"/>
  <c r="E126" i="16"/>
  <c r="I116" i="16"/>
  <c r="G116" i="16"/>
  <c r="E116" i="16"/>
  <c r="I93" i="16"/>
  <c r="G93" i="16"/>
  <c r="E93" i="16"/>
  <c r="I62" i="16"/>
  <c r="G62" i="16"/>
  <c r="E62" i="16"/>
  <c r="I52" i="16"/>
  <c r="G52" i="16"/>
  <c r="E52" i="16"/>
  <c r="G53" i="12" l="1"/>
  <c r="I124" i="12"/>
  <c r="H124" i="12"/>
  <c r="G124" i="12"/>
  <c r="F124" i="12"/>
  <c r="E124" i="12"/>
  <c r="I68" i="12"/>
  <c r="H68" i="12"/>
  <c r="G68" i="12"/>
  <c r="F68" i="12"/>
  <c r="E68" i="12"/>
  <c r="I18" i="12"/>
  <c r="H18" i="12"/>
  <c r="G18" i="12"/>
  <c r="F18" i="12"/>
  <c r="E18" i="12"/>
  <c r="I13" i="12"/>
  <c r="H13" i="12"/>
  <c r="G13" i="12"/>
  <c r="F13" i="12"/>
  <c r="E13" i="12"/>
  <c r="J69" i="12"/>
  <c r="H69" i="12"/>
  <c r="G69" i="12"/>
  <c r="F69" i="12"/>
  <c r="E69" i="12"/>
  <c r="J125" i="12"/>
  <c r="H125" i="12"/>
  <c r="G125" i="12"/>
  <c r="F125" i="12"/>
  <c r="E125" i="12"/>
  <c r="J14" i="12"/>
  <c r="H14" i="12"/>
  <c r="G14" i="12"/>
  <c r="F14" i="12"/>
  <c r="E14" i="12"/>
  <c r="I28" i="16"/>
  <c r="H28" i="16"/>
  <c r="G28" i="16"/>
  <c r="E28" i="16"/>
  <c r="I92" i="16"/>
  <c r="H92" i="16"/>
  <c r="G92" i="16"/>
  <c r="E92" i="16"/>
  <c r="I134" i="16"/>
  <c r="H134" i="16"/>
  <c r="G134" i="16"/>
  <c r="E134" i="16"/>
  <c r="I133" i="16"/>
  <c r="H133" i="16"/>
  <c r="G133" i="16"/>
  <c r="E133" i="16"/>
  <c r="G130" i="16"/>
  <c r="E130" i="16"/>
  <c r="I129" i="16"/>
  <c r="H129" i="16"/>
  <c r="G129" i="16"/>
  <c r="E129" i="16"/>
  <c r="I125" i="16"/>
  <c r="H125" i="16"/>
  <c r="G125" i="16"/>
  <c r="E125" i="16"/>
  <c r="I124" i="16"/>
  <c r="H124" i="16"/>
  <c r="G124" i="16"/>
  <c r="E124" i="16"/>
  <c r="G120" i="16"/>
  <c r="E120" i="16"/>
  <c r="G119" i="16"/>
  <c r="E119" i="16"/>
  <c r="H115" i="16"/>
  <c r="G115" i="16"/>
  <c r="E115" i="16"/>
  <c r="J112" i="16"/>
  <c r="J125" i="16" s="1"/>
  <c r="J111" i="16"/>
  <c r="I135" i="16"/>
  <c r="J89" i="16"/>
  <c r="J130" i="16" s="1"/>
  <c r="I70" i="16"/>
  <c r="G70" i="16"/>
  <c r="E70" i="16"/>
  <c r="G69" i="16"/>
  <c r="E69" i="16"/>
  <c r="G66" i="16"/>
  <c r="I65" i="16"/>
  <c r="G65" i="16"/>
  <c r="E65" i="16"/>
  <c r="I69" i="23" l="1"/>
  <c r="I69" i="24"/>
  <c r="I69" i="22"/>
  <c r="I69" i="21"/>
  <c r="I69" i="12"/>
  <c r="J134" i="16"/>
  <c r="I61" i="16"/>
  <c r="H61" i="16"/>
  <c r="G61" i="16"/>
  <c r="E61" i="16"/>
  <c r="I60" i="16"/>
  <c r="H60" i="16"/>
  <c r="G60" i="16"/>
  <c r="E60" i="16"/>
  <c r="G56" i="16"/>
  <c r="E56" i="16"/>
  <c r="I51" i="16"/>
  <c r="H51" i="16"/>
  <c r="G51" i="16"/>
  <c r="E51" i="16"/>
  <c r="J48" i="16" l="1"/>
  <c r="J47" i="16"/>
  <c r="I71" i="16"/>
  <c r="E66" i="16"/>
  <c r="G55" i="16"/>
  <c r="E55" i="16"/>
  <c r="I29" i="16"/>
  <c r="G29" i="16"/>
  <c r="E29" i="16"/>
  <c r="J25" i="16"/>
  <c r="O108" i="16"/>
  <c r="O114" i="16" s="1"/>
  <c r="N108" i="16"/>
  <c r="N114" i="16" s="1"/>
  <c r="M108" i="16"/>
  <c r="M114" i="16" s="1"/>
  <c r="L108" i="16"/>
  <c r="L114" i="16" s="1"/>
  <c r="K108" i="16"/>
  <c r="K114" i="16" s="1"/>
  <c r="J108" i="16"/>
  <c r="J114" i="16" s="1"/>
  <c r="I108" i="16"/>
  <c r="H108" i="16"/>
  <c r="H114" i="16" s="1"/>
  <c r="G108" i="16"/>
  <c r="G114" i="16" s="1"/>
  <c r="O107" i="16"/>
  <c r="N107" i="16"/>
  <c r="M107" i="16"/>
  <c r="L107" i="16"/>
  <c r="K107" i="16"/>
  <c r="J107" i="16"/>
  <c r="I107" i="16"/>
  <c r="H107" i="16"/>
  <c r="G107" i="16"/>
  <c r="O106" i="16"/>
  <c r="N106" i="16"/>
  <c r="M106" i="16"/>
  <c r="L106" i="16"/>
  <c r="K106" i="16"/>
  <c r="J106" i="16"/>
  <c r="I106" i="16"/>
  <c r="H106" i="16"/>
  <c r="G106" i="16"/>
  <c r="O105" i="16"/>
  <c r="N105" i="16"/>
  <c r="M105" i="16"/>
  <c r="L105" i="16"/>
  <c r="K105" i="16"/>
  <c r="J105" i="16"/>
  <c r="I105" i="16"/>
  <c r="H105" i="16"/>
  <c r="G105" i="16"/>
  <c r="O104" i="16"/>
  <c r="N104" i="16"/>
  <c r="M104" i="16"/>
  <c r="L104" i="16"/>
  <c r="K104" i="16"/>
  <c r="J104" i="16"/>
  <c r="I104" i="16"/>
  <c r="H104" i="16"/>
  <c r="G104" i="16"/>
  <c r="O103" i="16"/>
  <c r="N103" i="16"/>
  <c r="M103" i="16"/>
  <c r="L103" i="16"/>
  <c r="K103" i="16"/>
  <c r="J103" i="16"/>
  <c r="I103" i="16"/>
  <c r="H103" i="16"/>
  <c r="G103" i="16"/>
  <c r="O102" i="16"/>
  <c r="N102" i="16"/>
  <c r="M102" i="16"/>
  <c r="L102" i="16"/>
  <c r="K102" i="16"/>
  <c r="J102" i="16"/>
  <c r="I102" i="16"/>
  <c r="H102" i="16"/>
  <c r="G102" i="16"/>
  <c r="O101" i="16"/>
  <c r="N101" i="16"/>
  <c r="M101" i="16"/>
  <c r="L101" i="16"/>
  <c r="K101" i="16"/>
  <c r="J101" i="16"/>
  <c r="I101" i="16"/>
  <c r="H101" i="16"/>
  <c r="G101" i="16"/>
  <c r="O100" i="16"/>
  <c r="N100" i="16"/>
  <c r="M100" i="16"/>
  <c r="L100" i="16"/>
  <c r="K100" i="16"/>
  <c r="J100" i="16"/>
  <c r="I100" i="16"/>
  <c r="H100" i="16"/>
  <c r="G100" i="16"/>
  <c r="O99" i="16"/>
  <c r="N99" i="16"/>
  <c r="M99" i="16"/>
  <c r="L99" i="16"/>
  <c r="K99" i="16"/>
  <c r="J99" i="16"/>
  <c r="I99" i="16"/>
  <c r="H99" i="16"/>
  <c r="G99" i="16"/>
  <c r="O98" i="16"/>
  <c r="N98" i="16"/>
  <c r="M98" i="16"/>
  <c r="L98" i="16"/>
  <c r="K98" i="16"/>
  <c r="J98" i="16"/>
  <c r="I98" i="16"/>
  <c r="H98" i="16"/>
  <c r="G98" i="16"/>
  <c r="O97" i="16"/>
  <c r="N97" i="16"/>
  <c r="M97" i="16"/>
  <c r="L97" i="16"/>
  <c r="K97" i="16"/>
  <c r="J97" i="16"/>
  <c r="I97" i="16"/>
  <c r="H97" i="16"/>
  <c r="G97" i="16"/>
  <c r="O86" i="16"/>
  <c r="O91" i="16" s="1"/>
  <c r="N86" i="16"/>
  <c r="N91" i="16" s="1"/>
  <c r="M86" i="16"/>
  <c r="M91" i="16" s="1"/>
  <c r="L86" i="16"/>
  <c r="L91" i="16" s="1"/>
  <c r="K86" i="16"/>
  <c r="K91" i="16" s="1"/>
  <c r="J91" i="16"/>
  <c r="I86" i="16"/>
  <c r="I91" i="16" s="1"/>
  <c r="H86" i="16"/>
  <c r="H91" i="16" s="1"/>
  <c r="G86" i="16"/>
  <c r="G91" i="16" s="1"/>
  <c r="O85" i="16"/>
  <c r="N85" i="16"/>
  <c r="M85" i="16"/>
  <c r="L85" i="16"/>
  <c r="K85" i="16"/>
  <c r="I85" i="16"/>
  <c r="H85" i="16"/>
  <c r="G85" i="16"/>
  <c r="O84" i="16"/>
  <c r="N84" i="16"/>
  <c r="M84" i="16"/>
  <c r="L84" i="16"/>
  <c r="K84" i="16"/>
  <c r="I84" i="16"/>
  <c r="H84" i="16"/>
  <c r="G84" i="16"/>
  <c r="O83" i="16"/>
  <c r="N83" i="16"/>
  <c r="M83" i="16"/>
  <c r="L83" i="16"/>
  <c r="K83" i="16"/>
  <c r="I83" i="16"/>
  <c r="H83" i="16"/>
  <c r="G83" i="16"/>
  <c r="O82" i="16"/>
  <c r="N82" i="16"/>
  <c r="M82" i="16"/>
  <c r="L82" i="16"/>
  <c r="K82" i="16"/>
  <c r="I82" i="16"/>
  <c r="H82" i="16"/>
  <c r="G82" i="16"/>
  <c r="O81" i="16"/>
  <c r="N81" i="16"/>
  <c r="M81" i="16"/>
  <c r="L81" i="16"/>
  <c r="K81" i="16"/>
  <c r="I81" i="16"/>
  <c r="H81" i="16"/>
  <c r="G81" i="16"/>
  <c r="O80" i="16"/>
  <c r="N80" i="16"/>
  <c r="M80" i="16"/>
  <c r="L80" i="16"/>
  <c r="K80" i="16"/>
  <c r="I80" i="16"/>
  <c r="H80" i="16"/>
  <c r="G80" i="16"/>
  <c r="O79" i="16"/>
  <c r="N79" i="16"/>
  <c r="M79" i="16"/>
  <c r="L79" i="16"/>
  <c r="K79" i="16"/>
  <c r="I79" i="16"/>
  <c r="H79" i="16"/>
  <c r="G79" i="16"/>
  <c r="O78" i="16"/>
  <c r="N78" i="16"/>
  <c r="M78" i="16"/>
  <c r="L78" i="16"/>
  <c r="K78" i="16"/>
  <c r="I78" i="16"/>
  <c r="H78" i="16"/>
  <c r="G78" i="16"/>
  <c r="O77" i="16"/>
  <c r="N77" i="16"/>
  <c r="M77" i="16"/>
  <c r="L77" i="16"/>
  <c r="K77" i="16"/>
  <c r="I77" i="16"/>
  <c r="H77" i="16"/>
  <c r="G77" i="16"/>
  <c r="O76" i="16"/>
  <c r="N76" i="16"/>
  <c r="M76" i="16"/>
  <c r="L76" i="16"/>
  <c r="K76" i="16"/>
  <c r="I76" i="16"/>
  <c r="H76" i="16"/>
  <c r="G76" i="16"/>
  <c r="O75" i="16"/>
  <c r="N75" i="16"/>
  <c r="M75" i="16"/>
  <c r="L75" i="16"/>
  <c r="K75" i="16"/>
  <c r="I75" i="16"/>
  <c r="H75" i="16"/>
  <c r="G7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5" i="16"/>
  <c r="H35" i="16"/>
  <c r="G35" i="16"/>
  <c r="I34" i="16"/>
  <c r="H34" i="16"/>
  <c r="G34" i="16"/>
  <c r="I33" i="16"/>
  <c r="H33" i="16"/>
  <c r="G33" i="16"/>
  <c r="I22" i="16"/>
  <c r="H22" i="16"/>
  <c r="G22" i="16"/>
  <c r="I21" i="16"/>
  <c r="H21" i="16"/>
  <c r="G21" i="16"/>
  <c r="I20" i="16"/>
  <c r="H20" i="16"/>
  <c r="G20" i="16"/>
  <c r="I19" i="16"/>
  <c r="H19" i="16"/>
  <c r="G19" i="16"/>
  <c r="I18" i="16"/>
  <c r="H18" i="16"/>
  <c r="G18" i="16"/>
  <c r="I17" i="16"/>
  <c r="H17" i="16"/>
  <c r="G17" i="16"/>
  <c r="I16" i="16"/>
  <c r="H16" i="16"/>
  <c r="G16" i="16"/>
  <c r="I15" i="16"/>
  <c r="H15" i="16"/>
  <c r="G15" i="16"/>
  <c r="I14" i="16"/>
  <c r="H14" i="16"/>
  <c r="G14" i="16"/>
  <c r="I13" i="16"/>
  <c r="H13" i="16"/>
  <c r="G13" i="16"/>
  <c r="I12" i="16"/>
  <c r="H12" i="16"/>
  <c r="G12" i="16"/>
  <c r="I11" i="16"/>
  <c r="H11" i="16"/>
  <c r="G11" i="16"/>
  <c r="E97" i="16"/>
  <c r="E108" i="16"/>
  <c r="E114" i="16" s="1"/>
  <c r="E107" i="16"/>
  <c r="E106" i="16"/>
  <c r="E105" i="16"/>
  <c r="E104" i="16"/>
  <c r="E103" i="16"/>
  <c r="E102" i="16"/>
  <c r="E101" i="16"/>
  <c r="E100" i="16"/>
  <c r="E99" i="16"/>
  <c r="E98" i="16"/>
  <c r="E86" i="16"/>
  <c r="E91" i="16" s="1"/>
  <c r="E85" i="16"/>
  <c r="E84" i="16"/>
  <c r="E83" i="16"/>
  <c r="E82" i="16"/>
  <c r="E81" i="16"/>
  <c r="E80" i="16"/>
  <c r="E79" i="16"/>
  <c r="E78" i="16"/>
  <c r="E77" i="16"/>
  <c r="E76" i="16"/>
  <c r="E44" i="16"/>
  <c r="E43" i="16"/>
  <c r="E42" i="16"/>
  <c r="E41" i="16"/>
  <c r="E40" i="16"/>
  <c r="E39" i="16"/>
  <c r="E38" i="16"/>
  <c r="E37" i="16"/>
  <c r="E36" i="16"/>
  <c r="E35" i="16"/>
  <c r="E34" i="16"/>
  <c r="E75" i="16"/>
  <c r="E33" i="16"/>
  <c r="E22" i="16"/>
  <c r="E21" i="16"/>
  <c r="E20" i="16"/>
  <c r="E19" i="16"/>
  <c r="E18" i="16"/>
  <c r="E17" i="16"/>
  <c r="E16" i="16"/>
  <c r="E15" i="16"/>
  <c r="E14" i="16"/>
  <c r="E13" i="16"/>
  <c r="E12" i="16"/>
  <c r="E11" i="16"/>
  <c r="E6" i="16"/>
  <c r="E3" i="16"/>
  <c r="E2" i="16"/>
  <c r="I125" i="24" l="1"/>
  <c r="I125" i="23"/>
  <c r="I14" i="23"/>
  <c r="I14" i="24"/>
  <c r="I125" i="22"/>
  <c r="I125" i="21"/>
  <c r="I14" i="21"/>
  <c r="I14" i="22"/>
  <c r="J188" i="24"/>
  <c r="J188" i="23"/>
  <c r="J171" i="24"/>
  <c r="J171" i="23"/>
  <c r="J188" i="22"/>
  <c r="J188" i="21"/>
  <c r="J171" i="22"/>
  <c r="J171" i="21"/>
  <c r="J13" i="24"/>
  <c r="J15" i="24" s="1"/>
  <c r="J23" i="24" s="1"/>
  <c r="J24" i="24" s="1"/>
  <c r="J18" i="24"/>
  <c r="J124" i="24"/>
  <c r="J126" i="24" s="1"/>
  <c r="J129" i="24" s="1"/>
  <c r="J130" i="24" s="1"/>
  <c r="J124" i="23"/>
  <c r="J126" i="23" s="1"/>
  <c r="J129" i="23" s="1"/>
  <c r="J130" i="23" s="1"/>
  <c r="J124" i="22"/>
  <c r="J126" i="22" s="1"/>
  <c r="J129" i="22" s="1"/>
  <c r="J130" i="22" s="1"/>
  <c r="J68" i="24"/>
  <c r="J70" i="24" s="1"/>
  <c r="J74" i="24" s="1"/>
  <c r="J75" i="24" s="1"/>
  <c r="J18" i="23"/>
  <c r="J68" i="22"/>
  <c r="J70" i="22" s="1"/>
  <c r="J74" i="22" s="1"/>
  <c r="J75" i="22" s="1"/>
  <c r="J13" i="23"/>
  <c r="J15" i="23" s="1"/>
  <c r="J23" i="23" s="1"/>
  <c r="J24" i="23" s="1"/>
  <c r="J68" i="21"/>
  <c r="J70" i="21" s="1"/>
  <c r="J74" i="21" s="1"/>
  <c r="J75" i="21" s="1"/>
  <c r="J18" i="21"/>
  <c r="J18" i="22"/>
  <c r="J13" i="22"/>
  <c r="J15" i="22" s="1"/>
  <c r="J23" i="22" s="1"/>
  <c r="J24" i="22" s="1"/>
  <c r="J13" i="21"/>
  <c r="J15" i="21" s="1"/>
  <c r="J23" i="21" s="1"/>
  <c r="J24" i="21" s="1"/>
  <c r="J68" i="23"/>
  <c r="J70" i="23" s="1"/>
  <c r="J74" i="23" s="1"/>
  <c r="J75" i="23" s="1"/>
  <c r="J124" i="21"/>
  <c r="J126" i="21" s="1"/>
  <c r="J129" i="21" s="1"/>
  <c r="J130" i="21" s="1"/>
  <c r="J124" i="12"/>
  <c r="J188" i="12"/>
  <c r="J190" i="12" s="1"/>
  <c r="J200" i="12" s="1"/>
  <c r="J171" i="12"/>
  <c r="J68" i="12"/>
  <c r="J13" i="12"/>
  <c r="J18" i="12"/>
  <c r="I14" i="12"/>
  <c r="I125" i="12"/>
  <c r="N110" i="16"/>
  <c r="N115" i="16" s="1"/>
  <c r="K110" i="16"/>
  <c r="K115" i="16" s="1"/>
  <c r="J88" i="16"/>
  <c r="J92" i="16" s="1"/>
  <c r="J110" i="16"/>
  <c r="J115" i="16" s="1"/>
  <c r="L110" i="16"/>
  <c r="L115" i="16" s="1"/>
  <c r="M110" i="16"/>
  <c r="M115" i="16" s="1"/>
  <c r="O88" i="16"/>
  <c r="O92" i="16" s="1"/>
  <c r="O110" i="16"/>
  <c r="O115" i="16" s="1"/>
  <c r="E50" i="16"/>
  <c r="G50" i="16"/>
  <c r="H50" i="16"/>
  <c r="I50" i="16"/>
  <c r="M88" i="16"/>
  <c r="M92" i="16" s="1"/>
  <c r="N88" i="16"/>
  <c r="N92" i="16" s="1"/>
  <c r="E27" i="16"/>
  <c r="H27" i="16"/>
  <c r="I27" i="16"/>
  <c r="K88" i="16"/>
  <c r="K92" i="16" s="1"/>
  <c r="L88" i="16"/>
  <c r="L92" i="16" s="1"/>
  <c r="G27" i="16"/>
  <c r="J61" i="16"/>
  <c r="J70" i="16"/>
  <c r="J66" i="16"/>
  <c r="R22" i="16"/>
  <c r="Q22" i="16"/>
  <c r="P22" i="16"/>
  <c r="O22" i="16"/>
  <c r="N22" i="16"/>
  <c r="M22" i="16"/>
  <c r="L22" i="16"/>
  <c r="K22" i="16"/>
  <c r="R21" i="16"/>
  <c r="Q21" i="16"/>
  <c r="P21" i="16"/>
  <c r="O21" i="16"/>
  <c r="N21" i="16"/>
  <c r="M21" i="16"/>
  <c r="L21" i="16"/>
  <c r="K21" i="16"/>
  <c r="R20" i="16"/>
  <c r="Q20" i="16"/>
  <c r="P20" i="16"/>
  <c r="O20" i="16"/>
  <c r="N20" i="16"/>
  <c r="M20" i="16"/>
  <c r="L20" i="16"/>
  <c r="K20" i="16"/>
  <c r="R19" i="16"/>
  <c r="Q19" i="16"/>
  <c r="P19" i="16"/>
  <c r="O19" i="16"/>
  <c r="N19" i="16"/>
  <c r="M19" i="16"/>
  <c r="L19" i="16"/>
  <c r="K19" i="16"/>
  <c r="R18" i="16"/>
  <c r="Q18" i="16"/>
  <c r="P18" i="16"/>
  <c r="O18" i="16"/>
  <c r="N18" i="16"/>
  <c r="M18" i="16"/>
  <c r="L18" i="16"/>
  <c r="K18" i="16"/>
  <c r="R17" i="16"/>
  <c r="Q17" i="16"/>
  <c r="P17" i="16"/>
  <c r="O17" i="16"/>
  <c r="N17" i="16"/>
  <c r="M17" i="16"/>
  <c r="L17" i="16"/>
  <c r="K17" i="16"/>
  <c r="R16" i="16"/>
  <c r="Q16" i="16"/>
  <c r="P16" i="16"/>
  <c r="O16" i="16"/>
  <c r="N16" i="16"/>
  <c r="M16" i="16"/>
  <c r="L16" i="16"/>
  <c r="K16" i="16"/>
  <c r="R15" i="16"/>
  <c r="Q15" i="16"/>
  <c r="P15" i="16"/>
  <c r="O15" i="16"/>
  <c r="N15" i="16"/>
  <c r="M15" i="16"/>
  <c r="L15" i="16"/>
  <c r="K15" i="16"/>
  <c r="R14" i="16"/>
  <c r="Q14" i="16"/>
  <c r="P14" i="16"/>
  <c r="O14" i="16"/>
  <c r="N14" i="16"/>
  <c r="M14" i="16"/>
  <c r="L14" i="16"/>
  <c r="K14" i="16"/>
  <c r="R13" i="16"/>
  <c r="Q13" i="16"/>
  <c r="P13" i="16"/>
  <c r="O13" i="16"/>
  <c r="N13" i="16"/>
  <c r="M13" i="16"/>
  <c r="L13" i="16"/>
  <c r="K13" i="16"/>
  <c r="R12" i="16"/>
  <c r="Q12" i="16"/>
  <c r="P12" i="16"/>
  <c r="O12" i="16"/>
  <c r="N12" i="16"/>
  <c r="M12" i="16"/>
  <c r="L12" i="16"/>
  <c r="K12" i="16"/>
  <c r="R11" i="16"/>
  <c r="Q11" i="16"/>
  <c r="P11" i="16"/>
  <c r="O11" i="16"/>
  <c r="N11" i="16"/>
  <c r="M11" i="16"/>
  <c r="L11" i="16"/>
  <c r="K11" i="16"/>
  <c r="R44" i="16"/>
  <c r="Q44" i="16"/>
  <c r="P44" i="16"/>
  <c r="O44" i="16"/>
  <c r="N44" i="16"/>
  <c r="M44" i="16"/>
  <c r="L44" i="16"/>
  <c r="K44" i="16"/>
  <c r="J44" i="16"/>
  <c r="R43" i="16"/>
  <c r="Q43" i="16"/>
  <c r="P43" i="16"/>
  <c r="O43" i="16"/>
  <c r="N43" i="16"/>
  <c r="M43" i="16"/>
  <c r="L43" i="16"/>
  <c r="K43" i="16"/>
  <c r="J43" i="16"/>
  <c r="R42" i="16"/>
  <c r="Q42" i="16"/>
  <c r="P42" i="16"/>
  <c r="O42" i="16"/>
  <c r="N42" i="16"/>
  <c r="M42" i="16"/>
  <c r="L42" i="16"/>
  <c r="K42" i="16"/>
  <c r="J42" i="16"/>
  <c r="R41" i="16"/>
  <c r="Q41" i="16"/>
  <c r="P41" i="16"/>
  <c r="O41" i="16"/>
  <c r="N41" i="16"/>
  <c r="M41" i="16"/>
  <c r="L41" i="16"/>
  <c r="K41" i="16"/>
  <c r="J41" i="16"/>
  <c r="R40" i="16"/>
  <c r="Q40" i="16"/>
  <c r="P40" i="16"/>
  <c r="O40" i="16"/>
  <c r="N40" i="16"/>
  <c r="M40" i="16"/>
  <c r="L40" i="16"/>
  <c r="K40" i="16"/>
  <c r="J40" i="16"/>
  <c r="R39" i="16"/>
  <c r="Q39" i="16"/>
  <c r="P39" i="16"/>
  <c r="O39" i="16"/>
  <c r="N39" i="16"/>
  <c r="M39" i="16"/>
  <c r="L39" i="16"/>
  <c r="K39" i="16"/>
  <c r="J39" i="16"/>
  <c r="R38" i="16"/>
  <c r="Q38" i="16"/>
  <c r="P38" i="16"/>
  <c r="O38" i="16"/>
  <c r="N38" i="16"/>
  <c r="M38" i="16"/>
  <c r="L38" i="16"/>
  <c r="K38" i="16"/>
  <c r="J38" i="16"/>
  <c r="R37" i="16"/>
  <c r="Q37" i="16"/>
  <c r="P37" i="16"/>
  <c r="O37" i="16"/>
  <c r="N37" i="16"/>
  <c r="M37" i="16"/>
  <c r="L37" i="16"/>
  <c r="K37" i="16"/>
  <c r="J37" i="16"/>
  <c r="R36" i="16"/>
  <c r="Q36" i="16"/>
  <c r="P36" i="16"/>
  <c r="O36" i="16"/>
  <c r="N36" i="16"/>
  <c r="M36" i="16"/>
  <c r="L36" i="16"/>
  <c r="K36" i="16"/>
  <c r="J36" i="16"/>
  <c r="R35" i="16"/>
  <c r="Q35" i="16"/>
  <c r="P35" i="16"/>
  <c r="O35" i="16"/>
  <c r="N35" i="16"/>
  <c r="M35" i="16"/>
  <c r="L35" i="16"/>
  <c r="K35" i="16"/>
  <c r="J35" i="16"/>
  <c r="R34" i="16"/>
  <c r="Q34" i="16"/>
  <c r="P34" i="16"/>
  <c r="O34" i="16"/>
  <c r="N34" i="16"/>
  <c r="M34" i="16"/>
  <c r="L34" i="16"/>
  <c r="K34" i="16"/>
  <c r="J34" i="16"/>
  <c r="R33" i="16"/>
  <c r="Q33" i="16"/>
  <c r="P33" i="16"/>
  <c r="O33" i="16"/>
  <c r="N33" i="16"/>
  <c r="M33" i="16"/>
  <c r="L33" i="16"/>
  <c r="K33" i="16"/>
  <c r="J33" i="16"/>
  <c r="J86" i="22" l="1"/>
  <c r="J91" i="22" s="1"/>
  <c r="J79" i="22"/>
  <c r="J172" i="21"/>
  <c r="J173" i="21"/>
  <c r="J86" i="23"/>
  <c r="J91" i="23" s="1"/>
  <c r="J79" i="23"/>
  <c r="J173" i="22"/>
  <c r="J172" i="22"/>
  <c r="J28" i="21"/>
  <c r="J40" i="21"/>
  <c r="J35" i="21"/>
  <c r="J86" i="24"/>
  <c r="J91" i="24" s="1"/>
  <c r="J79" i="24"/>
  <c r="J194" i="21"/>
  <c r="J190" i="21"/>
  <c r="J192" i="21"/>
  <c r="J189" i="21"/>
  <c r="J191" i="21"/>
  <c r="J193" i="21"/>
  <c r="J40" i="22"/>
  <c r="J28" i="22"/>
  <c r="J35" i="22"/>
  <c r="J146" i="22"/>
  <c r="J141" i="22"/>
  <c r="J134" i="22"/>
  <c r="J194" i="22"/>
  <c r="J189" i="22"/>
  <c r="J193" i="22"/>
  <c r="J191" i="22"/>
  <c r="J190" i="22"/>
  <c r="J192" i="22"/>
  <c r="J134" i="23"/>
  <c r="J146" i="23"/>
  <c r="J141" i="23"/>
  <c r="J173" i="23"/>
  <c r="J172" i="23"/>
  <c r="J146" i="24"/>
  <c r="J134" i="24"/>
  <c r="J141" i="24"/>
  <c r="J173" i="24"/>
  <c r="J172" i="24"/>
  <c r="J79" i="21"/>
  <c r="J86" i="21"/>
  <c r="J91" i="21" s="1"/>
  <c r="J194" i="23"/>
  <c r="J189" i="23"/>
  <c r="J191" i="23"/>
  <c r="J190" i="23"/>
  <c r="J193" i="23"/>
  <c r="J192" i="23"/>
  <c r="J141" i="21"/>
  <c r="J134" i="21"/>
  <c r="J146" i="21"/>
  <c r="J35" i="23"/>
  <c r="J40" i="23"/>
  <c r="J28" i="23"/>
  <c r="J40" i="24"/>
  <c r="J28" i="24"/>
  <c r="J35" i="24"/>
  <c r="J194" i="24"/>
  <c r="J189" i="24"/>
  <c r="J193" i="24"/>
  <c r="J190" i="24"/>
  <c r="J192" i="24"/>
  <c r="J191" i="24"/>
  <c r="J192" i="12"/>
  <c r="J197" i="12" s="1"/>
  <c r="J191" i="12"/>
  <c r="J204" i="12" s="1"/>
  <c r="J193" i="12"/>
  <c r="J201" i="12" s="1"/>
  <c r="J202" i="12" s="1"/>
  <c r="J194" i="12"/>
  <c r="J205" i="12" s="1"/>
  <c r="J189" i="12"/>
  <c r="J196" i="12" s="1"/>
  <c r="J173" i="12"/>
  <c r="J172" i="12"/>
  <c r="O46" i="16"/>
  <c r="N46" i="16"/>
  <c r="P46" i="16"/>
  <c r="Q46" i="16"/>
  <c r="J46" i="16"/>
  <c r="R46" i="16"/>
  <c r="K46" i="16"/>
  <c r="L46" i="16"/>
  <c r="M46" i="16"/>
  <c r="K24" i="16"/>
  <c r="K28" i="16" s="1"/>
  <c r="J24" i="16"/>
  <c r="R24" i="16"/>
  <c r="R28" i="16" s="1"/>
  <c r="L24" i="16"/>
  <c r="L28" i="16" s="1"/>
  <c r="M24" i="16"/>
  <c r="M28" i="16" s="1"/>
  <c r="N24" i="16"/>
  <c r="N28" i="16" s="1"/>
  <c r="O24" i="16"/>
  <c r="O28" i="16" s="1"/>
  <c r="P24" i="16"/>
  <c r="P28" i="16" s="1"/>
  <c r="Q24" i="16"/>
  <c r="Q28" i="16" s="1"/>
  <c r="O111" i="16"/>
  <c r="O112" i="16"/>
  <c r="N112" i="16"/>
  <c r="N111" i="16"/>
  <c r="M112" i="16"/>
  <c r="M111" i="16"/>
  <c r="L112" i="16"/>
  <c r="L111" i="16"/>
  <c r="K112" i="16"/>
  <c r="K111" i="16"/>
  <c r="L50" i="16"/>
  <c r="M50" i="16"/>
  <c r="P50" i="16"/>
  <c r="O50" i="16"/>
  <c r="Q50" i="16"/>
  <c r="N50" i="16"/>
  <c r="J50" i="16"/>
  <c r="R50" i="16"/>
  <c r="K50" i="16"/>
  <c r="L89" i="16"/>
  <c r="L130" i="16" s="1"/>
  <c r="O89" i="16"/>
  <c r="O130" i="16" s="1"/>
  <c r="N89" i="16"/>
  <c r="N130" i="16" s="1"/>
  <c r="K89" i="16"/>
  <c r="K130" i="16" s="1"/>
  <c r="M89" i="16"/>
  <c r="M130" i="16" s="1"/>
  <c r="R27" i="16"/>
  <c r="K27" i="16"/>
  <c r="Q27" i="16"/>
  <c r="J27" i="16"/>
  <c r="L27" i="16"/>
  <c r="M27" i="16"/>
  <c r="N27" i="16"/>
  <c r="O27" i="16"/>
  <c r="P27" i="16"/>
  <c r="A1" i="16"/>
  <c r="D8" i="13" s="1"/>
  <c r="K47" i="16" l="1"/>
  <c r="J28" i="16"/>
  <c r="J174" i="22"/>
  <c r="J176" i="22" s="1"/>
  <c r="J174" i="23"/>
  <c r="J176" i="23" s="1"/>
  <c r="J174" i="21"/>
  <c r="J176" i="21" s="1"/>
  <c r="J204" i="24"/>
  <c r="J201" i="23"/>
  <c r="J197" i="21"/>
  <c r="J197" i="24"/>
  <c r="J200" i="23"/>
  <c r="J197" i="22"/>
  <c r="J200" i="21"/>
  <c r="J200" i="24"/>
  <c r="J204" i="23"/>
  <c r="J200" i="22"/>
  <c r="J205" i="21"/>
  <c r="J201" i="24"/>
  <c r="J196" i="23"/>
  <c r="J204" i="22"/>
  <c r="J196" i="24"/>
  <c r="J205" i="23"/>
  <c r="J201" i="22"/>
  <c r="J205" i="24"/>
  <c r="J196" i="22"/>
  <c r="J201" i="21"/>
  <c r="J205" i="22"/>
  <c r="J204" i="21"/>
  <c r="J197" i="23"/>
  <c r="J174" i="24"/>
  <c r="J176" i="24" s="1"/>
  <c r="J196" i="21"/>
  <c r="J219" i="12"/>
  <c r="J174" i="12"/>
  <c r="J176" i="12" s="1"/>
  <c r="J198" i="12"/>
  <c r="J206" i="12"/>
  <c r="L125" i="16"/>
  <c r="L134" i="16"/>
  <c r="M125" i="16"/>
  <c r="M134" i="16"/>
  <c r="N125" i="16"/>
  <c r="N134" i="16"/>
  <c r="O125" i="16"/>
  <c r="O134" i="16"/>
  <c r="K125" i="16"/>
  <c r="K134" i="16"/>
  <c r="O51" i="16"/>
  <c r="M51" i="16"/>
  <c r="N51" i="16"/>
  <c r="L51" i="16"/>
  <c r="K51" i="16"/>
  <c r="J51" i="16"/>
  <c r="Q51" i="16"/>
  <c r="P51" i="16"/>
  <c r="R51" i="16"/>
  <c r="P25" i="16"/>
  <c r="M48" i="16"/>
  <c r="M47" i="16"/>
  <c r="Q48" i="16"/>
  <c r="Q47" i="16"/>
  <c r="L48" i="16"/>
  <c r="L47" i="16"/>
  <c r="R48" i="16"/>
  <c r="R47" i="16"/>
  <c r="P48" i="16"/>
  <c r="P47" i="16"/>
  <c r="O48" i="16"/>
  <c r="O47" i="16"/>
  <c r="N48" i="16"/>
  <c r="N47" i="16"/>
  <c r="K48" i="16"/>
  <c r="K25" i="16"/>
  <c r="O25" i="16"/>
  <c r="L25" i="16"/>
  <c r="R25" i="16"/>
  <c r="M25" i="16"/>
  <c r="N25" i="16"/>
  <c r="Q25" i="16"/>
  <c r="J202" i="22" l="1"/>
  <c r="J219" i="22" s="1"/>
  <c r="J206" i="24"/>
  <c r="J202" i="24"/>
  <c r="J219" i="24" s="1"/>
  <c r="K18" i="24"/>
  <c r="K68" i="23"/>
  <c r="K124" i="24"/>
  <c r="K124" i="23"/>
  <c r="K13" i="23"/>
  <c r="K18" i="22"/>
  <c r="K68" i="24"/>
  <c r="K18" i="23"/>
  <c r="K13" i="24"/>
  <c r="K68" i="22"/>
  <c r="K124" i="22"/>
  <c r="K18" i="21"/>
  <c r="K68" i="21"/>
  <c r="K13" i="22"/>
  <c r="K13" i="21"/>
  <c r="K124" i="21"/>
  <c r="R13" i="24"/>
  <c r="R18" i="24"/>
  <c r="R124" i="24"/>
  <c r="R124" i="23"/>
  <c r="R124" i="22"/>
  <c r="R68" i="23"/>
  <c r="R18" i="23"/>
  <c r="R68" i="22"/>
  <c r="R13" i="23"/>
  <c r="R13" i="22"/>
  <c r="R68" i="24"/>
  <c r="R18" i="21"/>
  <c r="R68" i="21"/>
  <c r="R124" i="21"/>
  <c r="R13" i="21"/>
  <c r="R18" i="22"/>
  <c r="K188" i="23"/>
  <c r="K171" i="23"/>
  <c r="K171" i="24"/>
  <c r="K188" i="21"/>
  <c r="K171" i="22"/>
  <c r="K188" i="24"/>
  <c r="K188" i="22"/>
  <c r="K171" i="21"/>
  <c r="N171" i="24"/>
  <c r="N171" i="23"/>
  <c r="N188" i="23"/>
  <c r="N171" i="22"/>
  <c r="N188" i="24"/>
  <c r="N188" i="22"/>
  <c r="N171" i="21"/>
  <c r="N188" i="21"/>
  <c r="L188" i="23"/>
  <c r="L188" i="24"/>
  <c r="L188" i="22"/>
  <c r="L171" i="22"/>
  <c r="L171" i="23"/>
  <c r="L171" i="21"/>
  <c r="L171" i="24"/>
  <c r="L188" i="21"/>
  <c r="J198" i="22"/>
  <c r="J198" i="21"/>
  <c r="L18" i="24"/>
  <c r="L68" i="23"/>
  <c r="L68" i="24"/>
  <c r="L13" i="24"/>
  <c r="L124" i="23"/>
  <c r="L18" i="23"/>
  <c r="L13" i="22"/>
  <c r="L13" i="23"/>
  <c r="L68" i="21"/>
  <c r="L18" i="22"/>
  <c r="L13" i="21"/>
  <c r="L124" i="24"/>
  <c r="L68" i="22"/>
  <c r="L124" i="21"/>
  <c r="L18" i="21"/>
  <c r="L124" i="22"/>
  <c r="J206" i="22"/>
  <c r="R188" i="24"/>
  <c r="R188" i="23"/>
  <c r="R171" i="24"/>
  <c r="R171" i="23"/>
  <c r="R188" i="22"/>
  <c r="R188" i="21"/>
  <c r="R171" i="22"/>
  <c r="R171" i="21"/>
  <c r="O171" i="24"/>
  <c r="O171" i="23"/>
  <c r="O188" i="23"/>
  <c r="O188" i="24"/>
  <c r="O188" i="22"/>
  <c r="O171" i="22"/>
  <c r="O171" i="21"/>
  <c r="O188" i="21"/>
  <c r="Q188" i="24"/>
  <c r="Q171" i="24"/>
  <c r="Q188" i="23"/>
  <c r="Q188" i="22"/>
  <c r="Q188" i="21"/>
  <c r="Q171" i="23"/>
  <c r="Q171" i="21"/>
  <c r="Q171" i="22"/>
  <c r="J206" i="23"/>
  <c r="O124" i="24"/>
  <c r="O124" i="23"/>
  <c r="O18" i="24"/>
  <c r="O68" i="23"/>
  <c r="O18" i="23"/>
  <c r="O68" i="24"/>
  <c r="O13" i="24"/>
  <c r="O13" i="23"/>
  <c r="O124" i="22"/>
  <c r="O18" i="22"/>
  <c r="O124" i="21"/>
  <c r="O13" i="22"/>
  <c r="O13" i="21"/>
  <c r="O68" i="22"/>
  <c r="O18" i="21"/>
  <c r="O68" i="21"/>
  <c r="Q13" i="24"/>
  <c r="Q68" i="24"/>
  <c r="Q13" i="23"/>
  <c r="Q18" i="22"/>
  <c r="Q124" i="23"/>
  <c r="Q68" i="23"/>
  <c r="Q18" i="23"/>
  <c r="Q68" i="22"/>
  <c r="Q18" i="24"/>
  <c r="Q13" i="22"/>
  <c r="Q124" i="22"/>
  <c r="Q124" i="24"/>
  <c r="Q18" i="21"/>
  <c r="Q124" i="21"/>
  <c r="Q68" i="21"/>
  <c r="Q13" i="21"/>
  <c r="J198" i="23"/>
  <c r="J202" i="23"/>
  <c r="N68" i="24"/>
  <c r="N124" i="24"/>
  <c r="N124" i="23"/>
  <c r="N18" i="24"/>
  <c r="N68" i="23"/>
  <c r="N18" i="23"/>
  <c r="N13" i="24"/>
  <c r="N13" i="22"/>
  <c r="N13" i="23"/>
  <c r="N124" i="22"/>
  <c r="N18" i="22"/>
  <c r="N124" i="21"/>
  <c r="N68" i="22"/>
  <c r="N18" i="21"/>
  <c r="N68" i="21"/>
  <c r="N13" i="21"/>
  <c r="P171" i="23"/>
  <c r="P188" i="24"/>
  <c r="P171" i="24"/>
  <c r="P188" i="23"/>
  <c r="P188" i="22"/>
  <c r="P171" i="22"/>
  <c r="P188" i="21"/>
  <c r="P171" i="21"/>
  <c r="M171" i="24"/>
  <c r="M188" i="24"/>
  <c r="M171" i="23"/>
  <c r="M188" i="21"/>
  <c r="M188" i="23"/>
  <c r="M171" i="21"/>
  <c r="M188" i="22"/>
  <c r="M171" i="22"/>
  <c r="J202" i="21"/>
  <c r="P124" i="24"/>
  <c r="P124" i="23"/>
  <c r="P13" i="24"/>
  <c r="P68" i="24"/>
  <c r="P18" i="24"/>
  <c r="P13" i="22"/>
  <c r="P13" i="23"/>
  <c r="P124" i="22"/>
  <c r="P18" i="22"/>
  <c r="P13" i="21"/>
  <c r="P18" i="23"/>
  <c r="P68" i="22"/>
  <c r="P18" i="21"/>
  <c r="P124" i="21"/>
  <c r="P68" i="23"/>
  <c r="P68" i="21"/>
  <c r="M68" i="23"/>
  <c r="M68" i="24"/>
  <c r="M13" i="24"/>
  <c r="M124" i="24"/>
  <c r="M68" i="22"/>
  <c r="M18" i="24"/>
  <c r="M13" i="22"/>
  <c r="M13" i="23"/>
  <c r="M124" i="23"/>
  <c r="M18" i="22"/>
  <c r="M124" i="21"/>
  <c r="M18" i="23"/>
  <c r="M68" i="21"/>
  <c r="M18" i="21"/>
  <c r="M13" i="21"/>
  <c r="M124" i="22"/>
  <c r="J206" i="21"/>
  <c r="J198" i="24"/>
  <c r="J214" i="12"/>
  <c r="N124" i="12"/>
  <c r="O124" i="12"/>
  <c r="Q124" i="12"/>
  <c r="L124" i="12"/>
  <c r="P124" i="12"/>
  <c r="M124" i="12"/>
  <c r="K124" i="12"/>
  <c r="R124" i="12"/>
  <c r="K188" i="12"/>
  <c r="K171" i="12"/>
  <c r="N188" i="12"/>
  <c r="N171" i="12"/>
  <c r="L188" i="12"/>
  <c r="L171" i="12"/>
  <c r="R188" i="12"/>
  <c r="R171" i="12"/>
  <c r="O188" i="12"/>
  <c r="O171" i="12"/>
  <c r="Q188" i="12"/>
  <c r="Q171" i="12"/>
  <c r="P188" i="12"/>
  <c r="P171" i="12"/>
  <c r="M188" i="12"/>
  <c r="M171" i="12"/>
  <c r="N68" i="12"/>
  <c r="L68" i="12"/>
  <c r="O68" i="12"/>
  <c r="Q68" i="12"/>
  <c r="P68" i="12"/>
  <c r="M68" i="12"/>
  <c r="K68" i="12"/>
  <c r="R68" i="12"/>
  <c r="R13" i="12"/>
  <c r="R18" i="12"/>
  <c r="N13" i="12"/>
  <c r="N18" i="12"/>
  <c r="L13" i="12"/>
  <c r="L18" i="12"/>
  <c r="O13" i="12"/>
  <c r="O18" i="12"/>
  <c r="K13" i="12"/>
  <c r="K18" i="12"/>
  <c r="Q13" i="12"/>
  <c r="Q18" i="12"/>
  <c r="P13" i="12"/>
  <c r="P18" i="12"/>
  <c r="M13" i="12"/>
  <c r="M18" i="12"/>
  <c r="P66" i="16"/>
  <c r="K61" i="16"/>
  <c r="K70" i="16"/>
  <c r="R61" i="16"/>
  <c r="R70" i="16"/>
  <c r="L61" i="16"/>
  <c r="L70" i="16"/>
  <c r="O61" i="16"/>
  <c r="O70" i="16"/>
  <c r="Q61" i="16"/>
  <c r="Q70" i="16"/>
  <c r="N61" i="16"/>
  <c r="N70" i="16"/>
  <c r="P61" i="16"/>
  <c r="P70" i="16"/>
  <c r="M61" i="16"/>
  <c r="M70" i="16"/>
  <c r="L66" i="16"/>
  <c r="O66" i="16"/>
  <c r="Q66" i="16"/>
  <c r="R66" i="16"/>
  <c r="N66" i="16"/>
  <c r="K66" i="16"/>
  <c r="M66" i="16"/>
  <c r="I151" i="12"/>
  <c r="G151" i="12"/>
  <c r="F151" i="12"/>
  <c r="E151" i="12"/>
  <c r="I97" i="12"/>
  <c r="G97" i="12"/>
  <c r="F97" i="12"/>
  <c r="E97" i="12"/>
  <c r="I46" i="12"/>
  <c r="G46" i="12"/>
  <c r="F46" i="12"/>
  <c r="E46" i="12"/>
  <c r="J214" i="24" l="1"/>
  <c r="J219" i="21"/>
  <c r="J214" i="21"/>
  <c r="J219" i="23"/>
  <c r="J214" i="22"/>
  <c r="J214" i="23"/>
  <c r="J11" i="8"/>
  <c r="J34" i="12"/>
  <c r="J22" i="12" s="1"/>
  <c r="I49" i="8"/>
  <c r="I45" i="8"/>
  <c r="J46" i="8" s="1"/>
  <c r="I53" i="8"/>
  <c r="E28" i="12"/>
  <c r="F28" i="12"/>
  <c r="G28" i="12"/>
  <c r="H28" i="12"/>
  <c r="I28" i="12"/>
  <c r="E79" i="12"/>
  <c r="F79" i="12"/>
  <c r="G79" i="12"/>
  <c r="H79" i="12"/>
  <c r="I79" i="12"/>
  <c r="E129" i="12"/>
  <c r="F129" i="12"/>
  <c r="G129" i="12"/>
  <c r="H129" i="12"/>
  <c r="I129" i="12"/>
  <c r="I133" i="12"/>
  <c r="H133" i="12"/>
  <c r="G133" i="12"/>
  <c r="F133" i="12"/>
  <c r="E133" i="12"/>
  <c r="R164" i="12"/>
  <c r="L164" i="12"/>
  <c r="K164" i="12"/>
  <c r="J164" i="12"/>
  <c r="I164" i="12"/>
  <c r="G164" i="12"/>
  <c r="F164" i="12"/>
  <c r="E164" i="12"/>
  <c r="I163" i="12"/>
  <c r="G163" i="12"/>
  <c r="F163" i="12"/>
  <c r="E163" i="12"/>
  <c r="I160" i="12"/>
  <c r="G160" i="12"/>
  <c r="F160" i="12"/>
  <c r="E160" i="12"/>
  <c r="I159" i="12"/>
  <c r="F159" i="12"/>
  <c r="E159" i="12"/>
  <c r="I156" i="12"/>
  <c r="H156" i="12"/>
  <c r="G156" i="12"/>
  <c r="F156" i="12"/>
  <c r="E156" i="12"/>
  <c r="E190" i="12" s="1"/>
  <c r="E200" i="12" s="1"/>
  <c r="I155" i="12"/>
  <c r="H155" i="12"/>
  <c r="G155" i="12"/>
  <c r="F155" i="12"/>
  <c r="E155" i="12"/>
  <c r="E189" i="12" s="1"/>
  <c r="E196" i="12" s="1"/>
  <c r="I152" i="12"/>
  <c r="H152" i="12"/>
  <c r="G152" i="12"/>
  <c r="F152" i="12"/>
  <c r="E152" i="12"/>
  <c r="I147" i="12"/>
  <c r="H147" i="12"/>
  <c r="G147" i="12"/>
  <c r="F147" i="12"/>
  <c r="E147" i="12"/>
  <c r="I146" i="12"/>
  <c r="H146" i="12"/>
  <c r="G146" i="12"/>
  <c r="F146" i="12"/>
  <c r="E146" i="12"/>
  <c r="I145" i="12"/>
  <c r="H145" i="12"/>
  <c r="G145" i="12"/>
  <c r="F145" i="12"/>
  <c r="E145" i="12"/>
  <c r="I142" i="12"/>
  <c r="H142" i="12"/>
  <c r="G142" i="12"/>
  <c r="F142" i="12"/>
  <c r="E142" i="12"/>
  <c r="I134" i="12"/>
  <c r="H134" i="12"/>
  <c r="G134" i="12"/>
  <c r="F134" i="12"/>
  <c r="E134" i="12"/>
  <c r="I141" i="12"/>
  <c r="H141" i="12"/>
  <c r="G141" i="12"/>
  <c r="F141" i="12"/>
  <c r="E141" i="12"/>
  <c r="I128" i="12"/>
  <c r="H128" i="12"/>
  <c r="G128" i="12"/>
  <c r="F128" i="12"/>
  <c r="E128" i="12"/>
  <c r="J140" i="12"/>
  <c r="J128" i="12" s="1"/>
  <c r="I138" i="12"/>
  <c r="G138" i="12"/>
  <c r="F138" i="12"/>
  <c r="E138" i="12"/>
  <c r="I114" i="12"/>
  <c r="H114" i="12"/>
  <c r="G114" i="12"/>
  <c r="F114" i="12"/>
  <c r="E114" i="12"/>
  <c r="I17" i="12"/>
  <c r="G17" i="12"/>
  <c r="F17" i="12"/>
  <c r="E17" i="12"/>
  <c r="I115" i="12"/>
  <c r="G115" i="12"/>
  <c r="F115" i="12"/>
  <c r="E115" i="12"/>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52" i="12"/>
  <c r="H52" i="12"/>
  <c r="G52" i="12"/>
  <c r="F52" i="12"/>
  <c r="E52" i="12"/>
  <c r="I51" i="12"/>
  <c r="H51" i="12"/>
  <c r="G51" i="12"/>
  <c r="F51" i="12"/>
  <c r="E51" i="12"/>
  <c r="I98" i="12"/>
  <c r="H98" i="12"/>
  <c r="G98" i="12"/>
  <c r="F98" i="12"/>
  <c r="E98"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I78" i="12"/>
  <c r="H78" i="12"/>
  <c r="G78" i="12"/>
  <c r="F78" i="12"/>
  <c r="E78" i="12"/>
  <c r="I74" i="12"/>
  <c r="H74" i="12"/>
  <c r="G74" i="12"/>
  <c r="F74" i="12"/>
  <c r="E74" i="12"/>
  <c r="I73" i="12"/>
  <c r="H73" i="12"/>
  <c r="G73" i="12"/>
  <c r="F73" i="12"/>
  <c r="E73" i="12"/>
  <c r="J85" i="12"/>
  <c r="I83" i="12"/>
  <c r="G83" i="12"/>
  <c r="F83" i="12"/>
  <c r="E83" i="12"/>
  <c r="I47" i="12"/>
  <c r="H47" i="12"/>
  <c r="G47" i="12"/>
  <c r="F47" i="12"/>
  <c r="E47" i="12"/>
  <c r="I41" i="12"/>
  <c r="H41" i="12"/>
  <c r="G41" i="12"/>
  <c r="F41" i="12"/>
  <c r="E41" i="12"/>
  <c r="I40" i="12"/>
  <c r="H40" i="12"/>
  <c r="G40" i="12"/>
  <c r="F40" i="12"/>
  <c r="E40" i="12"/>
  <c r="I36" i="12"/>
  <c r="H36" i="12"/>
  <c r="G36" i="12"/>
  <c r="F36" i="12"/>
  <c r="E36" i="12"/>
  <c r="I27" i="12"/>
  <c r="I39" i="12" s="1"/>
  <c r="H27" i="12"/>
  <c r="H39" i="12" s="1"/>
  <c r="G27" i="12"/>
  <c r="G39" i="12" s="1"/>
  <c r="F27" i="12"/>
  <c r="F39" i="12" s="1"/>
  <c r="E27" i="12"/>
  <c r="E39" i="12" s="1"/>
  <c r="I35" i="12"/>
  <c r="H35" i="12"/>
  <c r="G35" i="12"/>
  <c r="F35" i="12"/>
  <c r="E35" i="12"/>
  <c r="I22" i="12"/>
  <c r="H22" i="12"/>
  <c r="G22" i="12"/>
  <c r="F22" i="12"/>
  <c r="E22" i="12"/>
  <c r="I23" i="12"/>
  <c r="H23" i="12"/>
  <c r="G23" i="12"/>
  <c r="F23" i="12"/>
  <c r="E23" i="12"/>
  <c r="I32" i="12"/>
  <c r="G32" i="12"/>
  <c r="F32" i="12"/>
  <c r="E32" i="12"/>
  <c r="E5" i="9"/>
  <c r="E3" i="9"/>
  <c r="E2" i="9"/>
  <c r="A1" i="9"/>
  <c r="A1" i="13"/>
  <c r="B11" i="13" s="1"/>
  <c r="E6" i="12"/>
  <c r="E3" i="12"/>
  <c r="E2" i="12"/>
  <c r="A1" i="12"/>
  <c r="E13" i="9"/>
  <c r="G13" i="9"/>
  <c r="A1" i="8"/>
  <c r="D5" i="13" s="1"/>
  <c r="E2" i="8"/>
  <c r="E3" i="8"/>
  <c r="E6" i="8"/>
  <c r="E14" i="8"/>
  <c r="F14" i="8"/>
  <c r="G14" i="8"/>
  <c r="H14" i="8"/>
  <c r="I14" i="8"/>
  <c r="E20" i="8"/>
  <c r="G20" i="8"/>
  <c r="E21" i="8"/>
  <c r="F21" i="8"/>
  <c r="G21" i="8"/>
  <c r="I21" i="8"/>
  <c r="E25" i="8"/>
  <c r="F25" i="8"/>
  <c r="G25" i="8"/>
  <c r="H25" i="8"/>
  <c r="I25" i="8"/>
  <c r="E26" i="8"/>
  <c r="F26" i="8"/>
  <c r="G26" i="8"/>
  <c r="H26" i="8"/>
  <c r="I26" i="8"/>
  <c r="E33" i="8"/>
  <c r="F33" i="8"/>
  <c r="G33" i="8"/>
  <c r="H33" i="8"/>
  <c r="I33" i="8"/>
  <c r="E39" i="8"/>
  <c r="F39" i="8"/>
  <c r="G39" i="8"/>
  <c r="H39" i="8"/>
  <c r="I39" i="8"/>
  <c r="E45" i="8"/>
  <c r="F45" i="8"/>
  <c r="G45" i="8"/>
  <c r="E49" i="8"/>
  <c r="F49" i="8"/>
  <c r="G49" i="8"/>
  <c r="H49" i="8"/>
  <c r="E52" i="8"/>
  <c r="F52" i="8"/>
  <c r="G52" i="8"/>
  <c r="I52" i="8"/>
  <c r="E53" i="8"/>
  <c r="F53" i="8"/>
  <c r="G53" i="8"/>
  <c r="E57" i="8"/>
  <c r="F57" i="8"/>
  <c r="G57" i="8"/>
  <c r="I57" i="8"/>
  <c r="E58" i="8"/>
  <c r="F58" i="8"/>
  <c r="G58" i="8"/>
  <c r="I58" i="8"/>
  <c r="E64" i="8"/>
  <c r="F64" i="8"/>
  <c r="G64" i="8"/>
  <c r="I64" i="8"/>
  <c r="E67" i="8"/>
  <c r="F67" i="8"/>
  <c r="G67" i="8"/>
  <c r="I67" i="8"/>
  <c r="E74" i="8"/>
  <c r="G74" i="8"/>
  <c r="E75" i="8"/>
  <c r="G75" i="8"/>
  <c r="E76" i="8"/>
  <c r="G76" i="8"/>
  <c r="E77" i="8"/>
  <c r="G77" i="8"/>
  <c r="E84" i="8"/>
  <c r="F84" i="8"/>
  <c r="G84" i="8"/>
  <c r="H84" i="8"/>
  <c r="I84" i="8"/>
  <c r="E85" i="8"/>
  <c r="F85" i="8"/>
  <c r="G85" i="8"/>
  <c r="I85" i="8"/>
  <c r="A1" i="7"/>
  <c r="B14" i="13" s="1"/>
  <c r="E2" i="7"/>
  <c r="E3" i="7"/>
  <c r="E5" i="7"/>
  <c r="E6" i="7"/>
  <c r="A1" i="2"/>
  <c r="B8" i="13" s="1"/>
  <c r="D14" i="13" l="1"/>
  <c r="I177" i="24"/>
  <c r="I177" i="23"/>
  <c r="I177" i="22"/>
  <c r="I177" i="21"/>
  <c r="G177" i="22"/>
  <c r="G177" i="21"/>
  <c r="G177" i="23"/>
  <c r="G177" i="24"/>
  <c r="F177" i="23"/>
  <c r="F177" i="24"/>
  <c r="F177" i="22"/>
  <c r="F177" i="21"/>
  <c r="E177" i="24"/>
  <c r="E177" i="23"/>
  <c r="E177" i="22"/>
  <c r="E177" i="21"/>
  <c r="J6" i="20"/>
  <c r="J6" i="24"/>
  <c r="J6" i="22"/>
  <c r="J6" i="23"/>
  <c r="J6" i="21"/>
  <c r="G177" i="12"/>
  <c r="J6" i="12"/>
  <c r="F177" i="12"/>
  <c r="E177" i="12"/>
  <c r="H5" i="13"/>
  <c r="J65" i="8"/>
  <c r="J67" i="8" s="1"/>
  <c r="J68" i="8" s="1"/>
  <c r="I177" i="12"/>
  <c r="G194" i="12"/>
  <c r="G205" i="12" s="1"/>
  <c r="G157" i="12"/>
  <c r="G193" i="12"/>
  <c r="G201" i="12" s="1"/>
  <c r="G192" i="12"/>
  <c r="G197" i="12" s="1"/>
  <c r="G191" i="12"/>
  <c r="G204" i="12" s="1"/>
  <c r="G190" i="12"/>
  <c r="G200" i="12" s="1"/>
  <c r="G189" i="12"/>
  <c r="G196" i="12" s="1"/>
  <c r="J52" i="16"/>
  <c r="J53" i="16" s="1"/>
  <c r="J56" i="16" s="1"/>
  <c r="J93" i="16"/>
  <c r="J94" i="16" s="1"/>
  <c r="J119" i="16" s="1"/>
  <c r="J116" i="16"/>
  <c r="J117" i="16" s="1"/>
  <c r="J120" i="16" s="1"/>
  <c r="J62" i="16"/>
  <c r="J126" i="16"/>
  <c r="J27" i="12"/>
  <c r="J39" i="12" s="1"/>
  <c r="J52" i="8"/>
  <c r="J54" i="8" s="1"/>
  <c r="J29" i="16"/>
  <c r="J30" i="16" s="1"/>
  <c r="J14" i="8"/>
  <c r="J15" i="8" s="1"/>
  <c r="J85" i="8" s="1"/>
  <c r="J6" i="7"/>
  <c r="J6" i="8"/>
  <c r="J5" i="9"/>
  <c r="K11" i="8"/>
  <c r="J6" i="16"/>
  <c r="J15" i="12"/>
  <c r="J23" i="12" s="1"/>
  <c r="J24" i="12" s="1"/>
  <c r="J133" i="12"/>
  <c r="J145" i="12"/>
  <c r="J73" i="12"/>
  <c r="J90" i="12"/>
  <c r="J78" i="12"/>
  <c r="M211" i="24" l="1"/>
  <c r="R211" i="24"/>
  <c r="L211" i="24"/>
  <c r="L211" i="23"/>
  <c r="L211" i="22"/>
  <c r="L211" i="21"/>
  <c r="K6" i="20"/>
  <c r="K6" i="24"/>
  <c r="K6" i="22"/>
  <c r="K6" i="23"/>
  <c r="K6" i="21"/>
  <c r="N211" i="24"/>
  <c r="O211" i="24"/>
  <c r="P211" i="24"/>
  <c r="J29" i="24"/>
  <c r="J80" i="24"/>
  <c r="J29" i="23"/>
  <c r="J80" i="23"/>
  <c r="J29" i="22"/>
  <c r="J135" i="23"/>
  <c r="J80" i="22"/>
  <c r="J135" i="24"/>
  <c r="J135" i="22"/>
  <c r="J135" i="21"/>
  <c r="J29" i="21"/>
  <c r="J80" i="21"/>
  <c r="J97" i="24"/>
  <c r="J97" i="23"/>
  <c r="J46" i="23"/>
  <c r="J46" i="24"/>
  <c r="J151" i="24"/>
  <c r="J151" i="23"/>
  <c r="J97" i="22"/>
  <c r="J46" i="22"/>
  <c r="J46" i="21"/>
  <c r="J151" i="21"/>
  <c r="J97" i="21"/>
  <c r="J151" i="22"/>
  <c r="Q211" i="24"/>
  <c r="J211" i="23"/>
  <c r="J211" i="24"/>
  <c r="J211" i="22"/>
  <c r="J211" i="21"/>
  <c r="K211" i="24"/>
  <c r="K211" i="23"/>
  <c r="K211" i="22"/>
  <c r="K211" i="21"/>
  <c r="K6" i="8"/>
  <c r="L211" i="12"/>
  <c r="J211" i="12"/>
  <c r="K211" i="12"/>
  <c r="G184" i="12"/>
  <c r="G159" i="12"/>
  <c r="J121" i="16"/>
  <c r="J124" i="16" s="1"/>
  <c r="J127" i="16" s="1"/>
  <c r="J129" i="16" s="1"/>
  <c r="K5" i="9"/>
  <c r="J58" i="8"/>
  <c r="J46" i="12"/>
  <c r="J21" i="8"/>
  <c r="J97" i="12"/>
  <c r="J151" i="12"/>
  <c r="K6" i="16"/>
  <c r="K14" i="8"/>
  <c r="K15" i="8" s="1"/>
  <c r="K6" i="12"/>
  <c r="L11" i="8"/>
  <c r="K6" i="7"/>
  <c r="J70" i="12"/>
  <c r="J74" i="12" s="1"/>
  <c r="J75" i="12" s="1"/>
  <c r="J86" i="12" s="1"/>
  <c r="J91" i="12" s="1"/>
  <c r="J35" i="12"/>
  <c r="J28" i="12"/>
  <c r="J40" i="12"/>
  <c r="K220" i="22" l="1"/>
  <c r="K215" i="22"/>
  <c r="J106" i="22"/>
  <c r="J87" i="22"/>
  <c r="L220" i="21"/>
  <c r="L215" i="21"/>
  <c r="K220" i="23"/>
  <c r="K215" i="23"/>
  <c r="J155" i="23"/>
  <c r="J182" i="23"/>
  <c r="J142" i="23"/>
  <c r="N215" i="24"/>
  <c r="N220" i="24"/>
  <c r="L220" i="22"/>
  <c r="L215" i="22"/>
  <c r="K220" i="24"/>
  <c r="K215" i="24"/>
  <c r="J51" i="22"/>
  <c r="J36" i="22"/>
  <c r="L220" i="23"/>
  <c r="L215" i="23"/>
  <c r="J215" i="21"/>
  <c r="J216" i="21" s="1"/>
  <c r="J9" i="20" s="1"/>
  <c r="J220" i="21"/>
  <c r="J221" i="21" s="1"/>
  <c r="J10" i="20" s="1"/>
  <c r="J106" i="21"/>
  <c r="J87" i="21"/>
  <c r="J87" i="23"/>
  <c r="J106" i="23"/>
  <c r="L220" i="24"/>
  <c r="L215" i="24"/>
  <c r="M215" i="24"/>
  <c r="M220" i="24"/>
  <c r="J215" i="22"/>
  <c r="J216" i="22" s="1"/>
  <c r="J19" i="20" s="1"/>
  <c r="J220" i="22"/>
  <c r="J221" i="22" s="1"/>
  <c r="J20" i="20" s="1"/>
  <c r="Q215" i="24"/>
  <c r="Q220" i="24"/>
  <c r="J36" i="21"/>
  <c r="J51" i="21"/>
  <c r="J36" i="23"/>
  <c r="J51" i="23"/>
  <c r="J215" i="24"/>
  <c r="J216" i="24" s="1"/>
  <c r="J29" i="20" s="1"/>
  <c r="J220" i="24"/>
  <c r="J221" i="24" s="1"/>
  <c r="J30" i="20" s="1"/>
  <c r="J155" i="21"/>
  <c r="J182" i="21"/>
  <c r="J142" i="21"/>
  <c r="J106" i="24"/>
  <c r="J87" i="24"/>
  <c r="P215" i="24"/>
  <c r="P220" i="24"/>
  <c r="O215" i="24"/>
  <c r="O220" i="24"/>
  <c r="L6" i="20"/>
  <c r="L6" i="24"/>
  <c r="L6" i="22"/>
  <c r="L6" i="23"/>
  <c r="L6" i="21"/>
  <c r="J215" i="23"/>
  <c r="J216" i="23" s="1"/>
  <c r="J24" i="20" s="1"/>
  <c r="J220" i="23"/>
  <c r="J221" i="23" s="1"/>
  <c r="J25" i="20" s="1"/>
  <c r="J155" i="22"/>
  <c r="J182" i="22"/>
  <c r="J142" i="22"/>
  <c r="J51" i="24"/>
  <c r="J36" i="24"/>
  <c r="R215" i="24"/>
  <c r="R220" i="24"/>
  <c r="K215" i="21"/>
  <c r="K220" i="21"/>
  <c r="J142" i="24"/>
  <c r="J182" i="24"/>
  <c r="J155" i="24"/>
  <c r="J29" i="12"/>
  <c r="J51" i="12" s="1"/>
  <c r="J86" i="8"/>
  <c r="L215" i="12"/>
  <c r="L220" i="12"/>
  <c r="K220" i="12"/>
  <c r="K215" i="12"/>
  <c r="J215" i="12"/>
  <c r="J216" i="12" s="1"/>
  <c r="J14" i="20" s="1"/>
  <c r="J220" i="12"/>
  <c r="J221" i="12" s="1"/>
  <c r="J15" i="20" s="1"/>
  <c r="F18" i="8"/>
  <c r="F20" i="8" s="1"/>
  <c r="J22" i="8" s="1"/>
  <c r="J23" i="8" s="1"/>
  <c r="J126" i="12"/>
  <c r="J129" i="12" s="1"/>
  <c r="J130" i="12" s="1"/>
  <c r="J146" i="12" s="1"/>
  <c r="L6" i="12"/>
  <c r="L6" i="16"/>
  <c r="L14" i="8"/>
  <c r="L15" i="8" s="1"/>
  <c r="M11" i="8"/>
  <c r="L5" i="9"/>
  <c r="L6" i="8"/>
  <c r="L6" i="7"/>
  <c r="K85" i="8"/>
  <c r="K21" i="8"/>
  <c r="J79" i="12"/>
  <c r="J80" i="12" s="1"/>
  <c r="J87" i="12" s="1"/>
  <c r="J36" i="12" l="1"/>
  <c r="J185" i="23"/>
  <c r="J2" i="20"/>
  <c r="J2" i="24"/>
  <c r="J2" i="22"/>
  <c r="J2" i="23"/>
  <c r="J2" i="21"/>
  <c r="J185" i="24"/>
  <c r="J185" i="21"/>
  <c r="J185" i="22"/>
  <c r="M6" i="20"/>
  <c r="M6" i="24"/>
  <c r="M6" i="23"/>
  <c r="M6" i="21"/>
  <c r="M6" i="22"/>
  <c r="J4" i="20"/>
  <c r="J4" i="24"/>
  <c r="J4" i="22"/>
  <c r="J4" i="23"/>
  <c r="J4" i="21"/>
  <c r="J5" i="7"/>
  <c r="J4" i="9"/>
  <c r="J4" i="12"/>
  <c r="J4" i="8"/>
  <c r="J33" i="8"/>
  <c r="J34" i="8" s="1"/>
  <c r="J4" i="16"/>
  <c r="J134" i="12"/>
  <c r="J135" i="12" s="1"/>
  <c r="J141" i="12"/>
  <c r="J2" i="7"/>
  <c r="J26" i="8"/>
  <c r="J84" i="8"/>
  <c r="J3" i="7"/>
  <c r="J39" i="8"/>
  <c r="J40" i="8" s="1"/>
  <c r="J49" i="8"/>
  <c r="J50" i="8" s="1"/>
  <c r="J2" i="12"/>
  <c r="J2" i="8"/>
  <c r="J2" i="16"/>
  <c r="J2" i="9"/>
  <c r="J25" i="8"/>
  <c r="K22" i="8"/>
  <c r="K26" i="8" s="1"/>
  <c r="M6" i="7"/>
  <c r="M6" i="16"/>
  <c r="M14" i="8"/>
  <c r="M15" i="8" s="1"/>
  <c r="N11" i="8"/>
  <c r="M6" i="8"/>
  <c r="M5" i="9"/>
  <c r="M6" i="12"/>
  <c r="L21" i="8"/>
  <c r="L85" i="8"/>
  <c r="J106" i="12"/>
  <c r="J185" i="12" s="1"/>
  <c r="J101" i="24" l="1"/>
  <c r="J101" i="23"/>
  <c r="J101" i="22"/>
  <c r="J101" i="21"/>
  <c r="N6" i="20"/>
  <c r="N6" i="24"/>
  <c r="N6" i="22"/>
  <c r="N6" i="23"/>
  <c r="N6" i="21"/>
  <c r="J17" i="24"/>
  <c r="J19" i="24" s="1"/>
  <c r="J83" i="24"/>
  <c r="J88" i="24" s="1"/>
  <c r="J83" i="23"/>
  <c r="J88" i="23" s="1"/>
  <c r="J17" i="23"/>
  <c r="J19" i="23" s="1"/>
  <c r="J32" i="24"/>
  <c r="J37" i="24" s="1"/>
  <c r="J32" i="23"/>
  <c r="J37" i="23" s="1"/>
  <c r="J138" i="22"/>
  <c r="J143" i="22" s="1"/>
  <c r="J32" i="22"/>
  <c r="J37" i="22" s="1"/>
  <c r="J138" i="23"/>
  <c r="J143" i="23" s="1"/>
  <c r="J83" i="22"/>
  <c r="J88" i="22" s="1"/>
  <c r="J138" i="24"/>
  <c r="J143" i="24" s="1"/>
  <c r="J17" i="21"/>
  <c r="J19" i="21" s="1"/>
  <c r="J138" i="21"/>
  <c r="J143" i="21" s="1"/>
  <c r="J17" i="22"/>
  <c r="J19" i="22" s="1"/>
  <c r="J83" i="21"/>
  <c r="J88" i="21" s="1"/>
  <c r="J32" i="21"/>
  <c r="J37" i="21" s="1"/>
  <c r="J35" i="8"/>
  <c r="J57" i="8" s="1"/>
  <c r="J59" i="8" s="1"/>
  <c r="J155" i="12"/>
  <c r="J182" i="12"/>
  <c r="J17" i="12"/>
  <c r="J19" i="12" s="1"/>
  <c r="J142" i="12"/>
  <c r="J27" i="8"/>
  <c r="J138" i="12"/>
  <c r="J83" i="12"/>
  <c r="J88" i="12" s="1"/>
  <c r="J102" i="12" s="1"/>
  <c r="J32" i="12"/>
  <c r="J37" i="12" s="1"/>
  <c r="K34" i="12" s="1"/>
  <c r="K23" i="8"/>
  <c r="K2" i="7"/>
  <c r="N6" i="16"/>
  <c r="N5" i="9"/>
  <c r="O11" i="8"/>
  <c r="N14" i="8"/>
  <c r="N15" i="8" s="1"/>
  <c r="N6" i="8"/>
  <c r="N6" i="7"/>
  <c r="N6" i="12"/>
  <c r="M21" i="8"/>
  <c r="M85" i="8"/>
  <c r="J45" i="8"/>
  <c r="K46" i="8" s="1"/>
  <c r="J64" i="8"/>
  <c r="J101" i="12"/>
  <c r="J53" i="8"/>
  <c r="K85" i="22" l="1"/>
  <c r="J102" i="22"/>
  <c r="J103" i="22" s="1"/>
  <c r="J92" i="22"/>
  <c r="J93" i="22" s="1"/>
  <c r="J92" i="24"/>
  <c r="J93" i="24" s="1"/>
  <c r="J102" i="24"/>
  <c r="J103" i="24" s="1"/>
  <c r="K85" i="24"/>
  <c r="K140" i="23"/>
  <c r="J147" i="23"/>
  <c r="J148" i="23" s="1"/>
  <c r="J152" i="23" s="1"/>
  <c r="J153" i="23" s="1"/>
  <c r="K34" i="21"/>
  <c r="J41" i="21"/>
  <c r="J42" i="21" s="1"/>
  <c r="K34" i="22"/>
  <c r="J41" i="22"/>
  <c r="J42" i="22" s="1"/>
  <c r="J102" i="21"/>
  <c r="J103" i="21" s="1"/>
  <c r="J92" i="21"/>
  <c r="J93" i="21" s="1"/>
  <c r="K85" i="21"/>
  <c r="K140" i="22"/>
  <c r="J147" i="22"/>
  <c r="J148" i="22" s="1"/>
  <c r="J152" i="22" s="1"/>
  <c r="J153" i="22" s="1"/>
  <c r="J3" i="20"/>
  <c r="J3" i="24"/>
  <c r="J3" i="22"/>
  <c r="J3" i="23"/>
  <c r="J3" i="21"/>
  <c r="K34" i="23"/>
  <c r="J41" i="23"/>
  <c r="J42" i="23" s="1"/>
  <c r="K140" i="21"/>
  <c r="J147" i="21"/>
  <c r="J148" i="21" s="1"/>
  <c r="J152" i="21" s="1"/>
  <c r="J153" i="21" s="1"/>
  <c r="J41" i="24"/>
  <c r="J42" i="24" s="1"/>
  <c r="K34" i="24"/>
  <c r="J177" i="24"/>
  <c r="J178" i="24" s="1"/>
  <c r="J28" i="20" s="1"/>
  <c r="J177" i="23"/>
  <c r="J178" i="23" s="1"/>
  <c r="J23" i="20" s="1"/>
  <c r="J177" i="21"/>
  <c r="J178" i="21" s="1"/>
  <c r="J8" i="20" s="1"/>
  <c r="J177" i="22"/>
  <c r="J178" i="22" s="1"/>
  <c r="J18" i="20" s="1"/>
  <c r="O6" i="20"/>
  <c r="O6" i="24"/>
  <c r="O6" i="23"/>
  <c r="O6" i="22"/>
  <c r="O6" i="21"/>
  <c r="K2" i="20"/>
  <c r="K2" i="22"/>
  <c r="K2" i="23"/>
  <c r="K2" i="24"/>
  <c r="K2" i="21"/>
  <c r="K140" i="24"/>
  <c r="J147" i="24"/>
  <c r="J148" i="24" s="1"/>
  <c r="J152" i="24" s="1"/>
  <c r="J153" i="24" s="1"/>
  <c r="K85" i="23"/>
  <c r="J102" i="23"/>
  <c r="J103" i="23" s="1"/>
  <c r="J92" i="23"/>
  <c r="J93" i="23" s="1"/>
  <c r="J3" i="16"/>
  <c r="K65" i="8"/>
  <c r="K67" i="8" s="1"/>
  <c r="K68" i="8" s="1"/>
  <c r="J177" i="12"/>
  <c r="J178" i="12" s="1"/>
  <c r="J13" i="20" s="1"/>
  <c r="K116" i="16"/>
  <c r="K117" i="16" s="1"/>
  <c r="K120" i="16" s="1"/>
  <c r="K93" i="16"/>
  <c r="K94" i="16" s="1"/>
  <c r="K119" i="16" s="1"/>
  <c r="K62" i="16"/>
  <c r="K52" i="16"/>
  <c r="K126" i="16"/>
  <c r="J143" i="12"/>
  <c r="J147" i="12" s="1"/>
  <c r="J148" i="12" s="1"/>
  <c r="J152" i="12" s="1"/>
  <c r="J153" i="12" s="1"/>
  <c r="K29" i="16"/>
  <c r="K85" i="12"/>
  <c r="K78" i="12" s="1"/>
  <c r="J92" i="12"/>
  <c r="J93" i="12" s="1"/>
  <c r="J41" i="12"/>
  <c r="J42" i="12" s="1"/>
  <c r="K2" i="16"/>
  <c r="K25" i="8"/>
  <c r="K27" i="8" s="1"/>
  <c r="K2" i="12"/>
  <c r="K39" i="8"/>
  <c r="K40" i="8" s="1"/>
  <c r="K2" i="8"/>
  <c r="K2" i="9"/>
  <c r="K33" i="8"/>
  <c r="K84" i="8"/>
  <c r="K86" i="8" s="1"/>
  <c r="K49" i="8"/>
  <c r="K50" i="8" s="1"/>
  <c r="K3" i="7"/>
  <c r="L22" i="8"/>
  <c r="N85" i="8"/>
  <c r="N21" i="8"/>
  <c r="O6" i="16"/>
  <c r="O6" i="8"/>
  <c r="O14" i="8"/>
  <c r="O15" i="8" s="1"/>
  <c r="P11" i="8"/>
  <c r="O6" i="12"/>
  <c r="O5" i="9"/>
  <c r="O6" i="7"/>
  <c r="K22" i="12"/>
  <c r="K27" i="12"/>
  <c r="J103" i="12"/>
  <c r="K52" i="8"/>
  <c r="K54" i="8" s="1"/>
  <c r="J3" i="12"/>
  <c r="J3" i="8"/>
  <c r="J4" i="7"/>
  <c r="J3" i="9"/>
  <c r="K101" i="23" l="1"/>
  <c r="K101" i="24"/>
  <c r="K101" i="22"/>
  <c r="K101" i="21"/>
  <c r="K73" i="23"/>
  <c r="K78" i="23"/>
  <c r="K90" i="23"/>
  <c r="K90" i="21"/>
  <c r="K78" i="21"/>
  <c r="K73" i="21"/>
  <c r="J156" i="23"/>
  <c r="J157" i="23" s="1"/>
  <c r="J183" i="23"/>
  <c r="K97" i="23"/>
  <c r="K46" i="23"/>
  <c r="K46" i="24"/>
  <c r="K151" i="24"/>
  <c r="K151" i="23"/>
  <c r="K46" i="22"/>
  <c r="K97" i="22"/>
  <c r="K151" i="22"/>
  <c r="K97" i="24"/>
  <c r="K151" i="21"/>
  <c r="K97" i="21"/>
  <c r="K46" i="21"/>
  <c r="J156" i="24"/>
  <c r="J157" i="24" s="1"/>
  <c r="J183" i="24"/>
  <c r="J98" i="21"/>
  <c r="J99" i="21" s="1"/>
  <c r="J107" i="21" s="1"/>
  <c r="J170" i="21"/>
  <c r="K133" i="23"/>
  <c r="K128" i="23"/>
  <c r="K145" i="23"/>
  <c r="P6" i="20"/>
  <c r="P6" i="24"/>
  <c r="P6" i="23"/>
  <c r="P6" i="22"/>
  <c r="P6" i="21"/>
  <c r="K133" i="24"/>
  <c r="K128" i="24"/>
  <c r="K145" i="24"/>
  <c r="K27" i="24"/>
  <c r="K39" i="24" s="1"/>
  <c r="K22" i="24"/>
  <c r="K78" i="24"/>
  <c r="K90" i="24"/>
  <c r="K73" i="24"/>
  <c r="K4" i="20"/>
  <c r="K4" i="24"/>
  <c r="K4" i="23"/>
  <c r="K4" i="22"/>
  <c r="K4" i="21"/>
  <c r="J169" i="24"/>
  <c r="J47" i="24"/>
  <c r="J48" i="24" s="1"/>
  <c r="J52" i="24" s="1"/>
  <c r="J53" i="24" s="1"/>
  <c r="J169" i="22"/>
  <c r="J47" i="22"/>
  <c r="J48" i="22" s="1"/>
  <c r="J52" i="22" s="1"/>
  <c r="J53" i="22" s="1"/>
  <c r="J156" i="21"/>
  <c r="J157" i="21" s="1"/>
  <c r="J183" i="21"/>
  <c r="K27" i="22"/>
  <c r="K39" i="22" s="1"/>
  <c r="K22" i="22"/>
  <c r="J170" i="24"/>
  <c r="J98" i="24"/>
  <c r="J99" i="24" s="1"/>
  <c r="J107" i="24" s="1"/>
  <c r="K133" i="21"/>
  <c r="K128" i="21"/>
  <c r="K145" i="21"/>
  <c r="J169" i="21"/>
  <c r="J47" i="21"/>
  <c r="J48" i="21" s="1"/>
  <c r="J52" i="21" s="1"/>
  <c r="J53" i="21" s="1"/>
  <c r="J170" i="22"/>
  <c r="J98" i="22"/>
  <c r="J99" i="22" s="1"/>
  <c r="J107" i="22" s="1"/>
  <c r="J170" i="23"/>
  <c r="J98" i="23"/>
  <c r="J99" i="23" s="1"/>
  <c r="J107" i="23" s="1"/>
  <c r="J169" i="23"/>
  <c r="J47" i="23"/>
  <c r="J48" i="23" s="1"/>
  <c r="J52" i="23" s="1"/>
  <c r="J53" i="23" s="1"/>
  <c r="J156" i="22"/>
  <c r="J157" i="22" s="1"/>
  <c r="J183" i="22"/>
  <c r="K27" i="21"/>
  <c r="K22" i="21"/>
  <c r="K83" i="23"/>
  <c r="K138" i="24"/>
  <c r="K138" i="23"/>
  <c r="K32" i="24"/>
  <c r="K17" i="24"/>
  <c r="K19" i="24" s="1"/>
  <c r="K32" i="23"/>
  <c r="K138" i="22"/>
  <c r="K32" i="22"/>
  <c r="K83" i="24"/>
  <c r="K83" i="22"/>
  <c r="K83" i="21"/>
  <c r="K32" i="21"/>
  <c r="K17" i="23"/>
  <c r="K19" i="23" s="1"/>
  <c r="K17" i="22"/>
  <c r="K19" i="22" s="1"/>
  <c r="K17" i="21"/>
  <c r="K19" i="21" s="1"/>
  <c r="K138" i="21"/>
  <c r="K22" i="23"/>
  <c r="K27" i="23"/>
  <c r="K39" i="23" s="1"/>
  <c r="K128" i="22"/>
  <c r="K133" i="22"/>
  <c r="K145" i="22"/>
  <c r="K78" i="22"/>
  <c r="K73" i="22"/>
  <c r="K90" i="22"/>
  <c r="J156" i="12"/>
  <c r="J157" i="12" s="1"/>
  <c r="J183" i="12"/>
  <c r="J47" i="12"/>
  <c r="J48" i="12" s="1"/>
  <c r="J52" i="12" s="1"/>
  <c r="J53" i="12" s="1"/>
  <c r="J61" i="12" s="1"/>
  <c r="J169" i="12"/>
  <c r="J98" i="12"/>
  <c r="J99" i="12" s="1"/>
  <c r="J107" i="12" s="1"/>
  <c r="J108" i="12" s="1"/>
  <c r="J187" i="12" s="1"/>
  <c r="J170" i="12"/>
  <c r="K140" i="12"/>
  <c r="K145" i="12" s="1"/>
  <c r="K121" i="16"/>
  <c r="K124" i="16" s="1"/>
  <c r="K127" i="16" s="1"/>
  <c r="K129" i="16" s="1"/>
  <c r="K90" i="12"/>
  <c r="K73" i="12"/>
  <c r="K4" i="16"/>
  <c r="K4" i="12"/>
  <c r="K4" i="9"/>
  <c r="K5" i="7"/>
  <c r="K4" i="8"/>
  <c r="K83" i="12"/>
  <c r="K32" i="12"/>
  <c r="K17" i="12"/>
  <c r="K19" i="12" s="1"/>
  <c r="K138" i="12"/>
  <c r="L26" i="8"/>
  <c r="L2" i="7"/>
  <c r="L23" i="8"/>
  <c r="K35" i="8"/>
  <c r="K57" i="8" s="1"/>
  <c r="K59" i="8" s="1"/>
  <c r="K34" i="8"/>
  <c r="K45" i="8" s="1"/>
  <c r="L46" i="8" s="1"/>
  <c r="K64" i="8"/>
  <c r="K53" i="8"/>
  <c r="K101" i="12"/>
  <c r="P6" i="16"/>
  <c r="P14" i="8"/>
  <c r="P15" i="8" s="1"/>
  <c r="Q11" i="8"/>
  <c r="P5" i="9"/>
  <c r="P6" i="12"/>
  <c r="P6" i="8"/>
  <c r="P6" i="7"/>
  <c r="O21" i="8"/>
  <c r="O85" i="8"/>
  <c r="K151" i="12"/>
  <c r="K46" i="12"/>
  <c r="K97" i="12"/>
  <c r="K58" i="8"/>
  <c r="K39" i="12"/>
  <c r="L2" i="20" l="1"/>
  <c r="L2" i="24"/>
  <c r="L2" i="23"/>
  <c r="L2" i="21"/>
  <c r="L2" i="22"/>
  <c r="J61" i="21"/>
  <c r="J114" i="21" s="1"/>
  <c r="J184" i="22"/>
  <c r="J159" i="22"/>
  <c r="J61" i="23"/>
  <c r="J114" i="23" s="1"/>
  <c r="J159" i="21"/>
  <c r="J184" i="21"/>
  <c r="Q6" i="20"/>
  <c r="Q6" i="23"/>
  <c r="Q6" i="24"/>
  <c r="Q6" i="22"/>
  <c r="Q6" i="21"/>
  <c r="J61" i="22"/>
  <c r="J114" i="22" s="1"/>
  <c r="J186" i="23"/>
  <c r="J108" i="23"/>
  <c r="K177" i="23"/>
  <c r="K177" i="21"/>
  <c r="K177" i="24"/>
  <c r="K177" i="22"/>
  <c r="J186" i="24"/>
  <c r="J108" i="24"/>
  <c r="J61" i="24"/>
  <c r="J114" i="24" s="1"/>
  <c r="J186" i="21"/>
  <c r="J108" i="21"/>
  <c r="J184" i="23"/>
  <c r="J159" i="23"/>
  <c r="J186" i="22"/>
  <c r="J108" i="22"/>
  <c r="K3" i="20"/>
  <c r="K3" i="24"/>
  <c r="K3" i="23"/>
  <c r="K3" i="22"/>
  <c r="K3" i="21"/>
  <c r="K39" i="21"/>
  <c r="J184" i="24"/>
  <c r="J159" i="24"/>
  <c r="J114" i="12"/>
  <c r="J186" i="12"/>
  <c r="L65" i="8"/>
  <c r="L67" i="8" s="1"/>
  <c r="L68" i="8" s="1"/>
  <c r="K177" i="12"/>
  <c r="J115" i="12"/>
  <c r="J160" i="12"/>
  <c r="J159" i="12"/>
  <c r="J184" i="12"/>
  <c r="L62" i="16"/>
  <c r="L52" i="16"/>
  <c r="L116" i="16"/>
  <c r="L117" i="16" s="1"/>
  <c r="L120" i="16" s="1"/>
  <c r="L126" i="16"/>
  <c r="L93" i="16"/>
  <c r="L94" i="16" s="1"/>
  <c r="L119" i="16" s="1"/>
  <c r="K128" i="12"/>
  <c r="K133" i="12"/>
  <c r="L52" i="8"/>
  <c r="L54" i="8" s="1"/>
  <c r="L29" i="16"/>
  <c r="K3" i="16"/>
  <c r="K3" i="12"/>
  <c r="K4" i="7"/>
  <c r="K3" i="9"/>
  <c r="K3" i="8"/>
  <c r="L2" i="16"/>
  <c r="L84" i="8"/>
  <c r="L86" i="8" s="1"/>
  <c r="L33" i="8"/>
  <c r="L3" i="7"/>
  <c r="L2" i="8"/>
  <c r="L25" i="8"/>
  <c r="L27" i="8" s="1"/>
  <c r="L2" i="12"/>
  <c r="M22" i="8"/>
  <c r="L2" i="9"/>
  <c r="L49" i="8"/>
  <c r="L50" i="8" s="1"/>
  <c r="L39" i="8"/>
  <c r="L40" i="8" s="1"/>
  <c r="Q6" i="16"/>
  <c r="Q5" i="9"/>
  <c r="Q6" i="7"/>
  <c r="Q6" i="12"/>
  <c r="Q14" i="8"/>
  <c r="Q15" i="8" s="1"/>
  <c r="Q6" i="8"/>
  <c r="R11" i="8"/>
  <c r="P85" i="8"/>
  <c r="P21" i="8"/>
  <c r="J115" i="24" l="1"/>
  <c r="J160" i="24"/>
  <c r="J161" i="24" s="1"/>
  <c r="J187" i="24"/>
  <c r="J115" i="23"/>
  <c r="J160" i="23"/>
  <c r="J161" i="23" s="1"/>
  <c r="J187" i="23"/>
  <c r="L32" i="24"/>
  <c r="L37" i="24" s="1"/>
  <c r="L138" i="24"/>
  <c r="L143" i="24" s="1"/>
  <c r="L138" i="23"/>
  <c r="L143" i="23" s="1"/>
  <c r="L17" i="24"/>
  <c r="L19" i="24" s="1"/>
  <c r="L17" i="23"/>
  <c r="L19" i="23" s="1"/>
  <c r="L32" i="23"/>
  <c r="L37" i="23" s="1"/>
  <c r="L32" i="22"/>
  <c r="L37" i="22" s="1"/>
  <c r="L83" i="24"/>
  <c r="L88" i="24" s="1"/>
  <c r="L83" i="23"/>
  <c r="L88" i="23" s="1"/>
  <c r="L83" i="22"/>
  <c r="L88" i="22" s="1"/>
  <c r="L138" i="22"/>
  <c r="L143" i="22" s="1"/>
  <c r="L83" i="21"/>
  <c r="L88" i="21" s="1"/>
  <c r="L32" i="21"/>
  <c r="L37" i="21" s="1"/>
  <c r="L17" i="22"/>
  <c r="L19" i="22" s="1"/>
  <c r="L138" i="21"/>
  <c r="L143" i="21" s="1"/>
  <c r="L17" i="21"/>
  <c r="L19" i="21" s="1"/>
  <c r="J160" i="22"/>
  <c r="J161" i="22" s="1"/>
  <c r="J115" i="22"/>
  <c r="J187" i="22"/>
  <c r="J115" i="21"/>
  <c r="J160" i="21"/>
  <c r="J161" i="21" s="1"/>
  <c r="J187" i="21"/>
  <c r="L4" i="20"/>
  <c r="L4" i="24"/>
  <c r="L4" i="22"/>
  <c r="L4" i="23"/>
  <c r="L4" i="21"/>
  <c r="L46" i="24"/>
  <c r="L97" i="24"/>
  <c r="L46" i="23"/>
  <c r="L151" i="23"/>
  <c r="L151" i="24"/>
  <c r="L97" i="23"/>
  <c r="L151" i="22"/>
  <c r="L97" i="22"/>
  <c r="L151" i="21"/>
  <c r="L97" i="21"/>
  <c r="L46" i="22"/>
  <c r="L46" i="21"/>
  <c r="R6" i="20"/>
  <c r="R6" i="24"/>
  <c r="R6" i="22"/>
  <c r="R6" i="23"/>
  <c r="R6" i="21"/>
  <c r="L101" i="22"/>
  <c r="L101" i="23"/>
  <c r="L101" i="21"/>
  <c r="L101" i="24"/>
  <c r="L64" i="8"/>
  <c r="J161" i="12"/>
  <c r="J163" i="12" s="1"/>
  <c r="J165" i="12" s="1"/>
  <c r="L121" i="16"/>
  <c r="L124" i="16" s="1"/>
  <c r="L127" i="16" s="1"/>
  <c r="L129" i="16" s="1"/>
  <c r="L151" i="12"/>
  <c r="L46" i="12"/>
  <c r="L58" i="8"/>
  <c r="L97" i="12"/>
  <c r="L4" i="16"/>
  <c r="L5" i="7"/>
  <c r="L4" i="9"/>
  <c r="L4" i="8"/>
  <c r="L4" i="12"/>
  <c r="M2" i="7"/>
  <c r="M26" i="8"/>
  <c r="M23" i="8"/>
  <c r="L53" i="8"/>
  <c r="L101" i="12"/>
  <c r="L17" i="12"/>
  <c r="L19" i="12" s="1"/>
  <c r="L138" i="12"/>
  <c r="L143" i="12" s="1"/>
  <c r="L83" i="12"/>
  <c r="L88" i="12" s="1"/>
  <c r="L32" i="12"/>
  <c r="L37" i="12" s="1"/>
  <c r="L34" i="8"/>
  <c r="L45" i="8" s="1"/>
  <c r="M46" i="8" s="1"/>
  <c r="L35" i="8"/>
  <c r="L57" i="8" s="1"/>
  <c r="L59" i="8" s="1"/>
  <c r="Q85" i="8"/>
  <c r="Q21" i="8"/>
  <c r="R6" i="16"/>
  <c r="R6" i="7"/>
  <c r="R14" i="8"/>
  <c r="R15" i="8" s="1"/>
  <c r="R5" i="9"/>
  <c r="R6" i="8"/>
  <c r="R6" i="12"/>
  <c r="M85" i="24" l="1"/>
  <c r="L92" i="24"/>
  <c r="L102" i="24"/>
  <c r="L103" i="24" s="1"/>
  <c r="M140" i="21"/>
  <c r="L147" i="21"/>
  <c r="M34" i="22"/>
  <c r="L41" i="22"/>
  <c r="J163" i="21"/>
  <c r="J165" i="21" s="1"/>
  <c r="M34" i="23"/>
  <c r="L41" i="23"/>
  <c r="J163" i="23"/>
  <c r="J165" i="23" s="1"/>
  <c r="M34" i="21"/>
  <c r="L41" i="21"/>
  <c r="L102" i="21"/>
  <c r="L103" i="21" s="1"/>
  <c r="L92" i="21"/>
  <c r="M85" i="21"/>
  <c r="L177" i="24"/>
  <c r="L177" i="23"/>
  <c r="L177" i="21"/>
  <c r="L177" i="22"/>
  <c r="M140" i="22"/>
  <c r="L147" i="22"/>
  <c r="L147" i="23"/>
  <c r="M140" i="23"/>
  <c r="L102" i="22"/>
  <c r="L103" i="22" s="1"/>
  <c r="L92" i="22"/>
  <c r="M85" i="22"/>
  <c r="L147" i="24"/>
  <c r="M140" i="24"/>
  <c r="J163" i="24"/>
  <c r="J165" i="24" s="1"/>
  <c r="L3" i="20"/>
  <c r="L3" i="24"/>
  <c r="L3" i="23"/>
  <c r="L3" i="21"/>
  <c r="L3" i="22"/>
  <c r="M2" i="20"/>
  <c r="M2" i="24"/>
  <c r="M2" i="22"/>
  <c r="M2" i="23"/>
  <c r="M2" i="21"/>
  <c r="J163" i="22"/>
  <c r="J165" i="22" s="1"/>
  <c r="M85" i="23"/>
  <c r="L92" i="23"/>
  <c r="L102" i="23"/>
  <c r="L103" i="23" s="1"/>
  <c r="M34" i="24"/>
  <c r="L41" i="24"/>
  <c r="L177" i="12"/>
  <c r="M65" i="8"/>
  <c r="M67" i="8" s="1"/>
  <c r="M68" i="8" s="1"/>
  <c r="L3" i="16"/>
  <c r="M62" i="16"/>
  <c r="M126" i="16"/>
  <c r="M116" i="16"/>
  <c r="M52" i="16"/>
  <c r="M93" i="16"/>
  <c r="M52" i="8"/>
  <c r="M54" i="8" s="1"/>
  <c r="M29" i="16"/>
  <c r="L3" i="8"/>
  <c r="L4" i="7"/>
  <c r="L3" i="9"/>
  <c r="L3" i="12"/>
  <c r="M34" i="12"/>
  <c r="L41" i="12"/>
  <c r="M2" i="16"/>
  <c r="M2" i="9"/>
  <c r="M2" i="12"/>
  <c r="M25" i="8"/>
  <c r="M27" i="8" s="1"/>
  <c r="M49" i="8"/>
  <c r="M50" i="8" s="1"/>
  <c r="M39" i="8"/>
  <c r="M40" i="8" s="1"/>
  <c r="M3" i="7"/>
  <c r="M33" i="8"/>
  <c r="M84" i="8"/>
  <c r="M86" i="8" s="1"/>
  <c r="M2" i="8"/>
  <c r="N22" i="8"/>
  <c r="L102" i="12"/>
  <c r="L103" i="12" s="1"/>
  <c r="M85" i="12"/>
  <c r="L92" i="12"/>
  <c r="M140" i="12"/>
  <c r="L147" i="12"/>
  <c r="R21" i="8"/>
  <c r="R85" i="8"/>
  <c r="F12" i="8"/>
  <c r="F74" i="8" s="1"/>
  <c r="M73" i="23" l="1"/>
  <c r="M90" i="23"/>
  <c r="M78" i="23"/>
  <c r="M27" i="21"/>
  <c r="M22" i="21"/>
  <c r="M22" i="22"/>
  <c r="M27" i="22"/>
  <c r="M97" i="24"/>
  <c r="M97" i="23"/>
  <c r="M46" i="23"/>
  <c r="M151" i="23"/>
  <c r="M97" i="22"/>
  <c r="M151" i="24"/>
  <c r="M46" i="24"/>
  <c r="M151" i="22"/>
  <c r="M97" i="21"/>
  <c r="M46" i="21"/>
  <c r="M46" i="22"/>
  <c r="M151" i="21"/>
  <c r="M128" i="23"/>
  <c r="M133" i="23"/>
  <c r="M145" i="23"/>
  <c r="M128" i="21"/>
  <c r="M145" i="21"/>
  <c r="M133" i="21"/>
  <c r="M4" i="20"/>
  <c r="M4" i="24"/>
  <c r="M4" i="22"/>
  <c r="M4" i="23"/>
  <c r="M4" i="21"/>
  <c r="M22" i="24"/>
  <c r="M27" i="24"/>
  <c r="M90" i="21"/>
  <c r="M78" i="21"/>
  <c r="M73" i="21"/>
  <c r="M27" i="23"/>
  <c r="M22" i="23"/>
  <c r="M73" i="22"/>
  <c r="M90" i="22"/>
  <c r="M78" i="22"/>
  <c r="M32" i="24"/>
  <c r="M83" i="24"/>
  <c r="M32" i="23"/>
  <c r="M17" i="24"/>
  <c r="M19" i="24" s="1"/>
  <c r="M138" i="24"/>
  <c r="M138" i="22"/>
  <c r="M83" i="23"/>
  <c r="M138" i="23"/>
  <c r="M83" i="22"/>
  <c r="M17" i="22"/>
  <c r="M19" i="22" s="1"/>
  <c r="M32" i="22"/>
  <c r="M17" i="23"/>
  <c r="M19" i="23" s="1"/>
  <c r="M83" i="21"/>
  <c r="M32" i="21"/>
  <c r="M138" i="21"/>
  <c r="M17" i="21"/>
  <c r="M19" i="21" s="1"/>
  <c r="M101" i="24"/>
  <c r="M101" i="23"/>
  <c r="M101" i="22"/>
  <c r="M101" i="21"/>
  <c r="M128" i="24"/>
  <c r="M133" i="24"/>
  <c r="M145" i="24"/>
  <c r="M133" i="22"/>
  <c r="M128" i="22"/>
  <c r="M145" i="22"/>
  <c r="M90" i="24"/>
  <c r="M73" i="24"/>
  <c r="M78" i="24"/>
  <c r="M64" i="8"/>
  <c r="M97" i="12"/>
  <c r="M94" i="16"/>
  <c r="M119" i="16" s="1"/>
  <c r="M53" i="16"/>
  <c r="M56" i="16" s="1"/>
  <c r="M117" i="16"/>
  <c r="M120" i="16" s="1"/>
  <c r="M30" i="16"/>
  <c r="M46" i="12"/>
  <c r="M151" i="12"/>
  <c r="M58" i="8"/>
  <c r="M101" i="12"/>
  <c r="M138" i="12"/>
  <c r="M17" i="12"/>
  <c r="M19" i="12" s="1"/>
  <c r="M32" i="12"/>
  <c r="M83" i="12"/>
  <c r="M53" i="8"/>
  <c r="N26" i="8"/>
  <c r="N23" i="8"/>
  <c r="N2" i="7"/>
  <c r="M4" i="16"/>
  <c r="M4" i="12"/>
  <c r="M4" i="8"/>
  <c r="M5" i="7"/>
  <c r="M4" i="9"/>
  <c r="M34" i="8"/>
  <c r="M45" i="8" s="1"/>
  <c r="N46" i="8" s="1"/>
  <c r="M35" i="8"/>
  <c r="M57" i="8" s="1"/>
  <c r="M78" i="12"/>
  <c r="M90" i="12"/>
  <c r="M73" i="12"/>
  <c r="M145" i="12"/>
  <c r="M128" i="12"/>
  <c r="M133" i="12"/>
  <c r="M22" i="12"/>
  <c r="M27" i="12"/>
  <c r="M39" i="12" s="1"/>
  <c r="H15" i="8"/>
  <c r="M121" i="16" l="1"/>
  <c r="M124" i="16" s="1"/>
  <c r="M127" i="16" s="1"/>
  <c r="M39" i="24"/>
  <c r="N2" i="20"/>
  <c r="N2" i="24"/>
  <c r="N2" i="23"/>
  <c r="N2" i="21"/>
  <c r="N2" i="22"/>
  <c r="M177" i="12"/>
  <c r="M177" i="24"/>
  <c r="M177" i="23"/>
  <c r="M177" i="22"/>
  <c r="M177" i="21"/>
  <c r="M39" i="22"/>
  <c r="M39" i="23"/>
  <c r="M39" i="21"/>
  <c r="N65" i="8"/>
  <c r="N67" i="8" s="1"/>
  <c r="N68" i="8" s="1"/>
  <c r="N126" i="16"/>
  <c r="N116" i="16"/>
  <c r="N117" i="16" s="1"/>
  <c r="N120" i="16" s="1"/>
  <c r="N62" i="16"/>
  <c r="N93" i="16"/>
  <c r="N94" i="16" s="1"/>
  <c r="N119" i="16" s="1"/>
  <c r="N52" i="16"/>
  <c r="M59" i="8"/>
  <c r="N52" i="8"/>
  <c r="N54" i="8" s="1"/>
  <c r="N29" i="16"/>
  <c r="N2" i="16"/>
  <c r="N2" i="12"/>
  <c r="N49" i="8"/>
  <c r="N50" i="8" s="1"/>
  <c r="N33" i="8"/>
  <c r="N2" i="9"/>
  <c r="N84" i="8"/>
  <c r="N86" i="8" s="1"/>
  <c r="N2" i="8"/>
  <c r="N3" i="7"/>
  <c r="O22" i="8"/>
  <c r="N39" i="8"/>
  <c r="N40" i="8" s="1"/>
  <c r="N25" i="8"/>
  <c r="N27" i="8" s="1"/>
  <c r="H85" i="8"/>
  <c r="H21" i="8"/>
  <c r="M3" i="20" l="1"/>
  <c r="M3" i="23"/>
  <c r="M3" i="24"/>
  <c r="M3" i="21"/>
  <c r="M3" i="22"/>
  <c r="N4" i="20"/>
  <c r="N4" i="22"/>
  <c r="N4" i="23"/>
  <c r="N4" i="24"/>
  <c r="N4" i="21"/>
  <c r="N101" i="24"/>
  <c r="N101" i="23"/>
  <c r="N101" i="22"/>
  <c r="N101" i="21"/>
  <c r="N32" i="24"/>
  <c r="N83" i="24"/>
  <c r="N32" i="23"/>
  <c r="N83" i="23"/>
  <c r="N17" i="24"/>
  <c r="N19" i="24" s="1"/>
  <c r="N32" i="22"/>
  <c r="N138" i="23"/>
  <c r="N83" i="22"/>
  <c r="N17" i="22"/>
  <c r="N19" i="22" s="1"/>
  <c r="N17" i="23"/>
  <c r="N19" i="23" s="1"/>
  <c r="N138" i="22"/>
  <c r="N138" i="21"/>
  <c r="N138" i="24"/>
  <c r="N32" i="21"/>
  <c r="N17" i="21"/>
  <c r="N19" i="21" s="1"/>
  <c r="N83" i="21"/>
  <c r="N151" i="24"/>
  <c r="N151" i="23"/>
  <c r="N97" i="23"/>
  <c r="N46" i="24"/>
  <c r="N97" i="24"/>
  <c r="N151" i="21"/>
  <c r="N151" i="22"/>
  <c r="N46" i="22"/>
  <c r="N46" i="23"/>
  <c r="N97" i="22"/>
  <c r="N97" i="21"/>
  <c r="N46" i="21"/>
  <c r="N64" i="8"/>
  <c r="M3" i="16"/>
  <c r="M129" i="16"/>
  <c r="N121" i="16"/>
  <c r="N124" i="16" s="1"/>
  <c r="N127" i="16" s="1"/>
  <c r="N129" i="16" s="1"/>
  <c r="M3" i="12"/>
  <c r="N97" i="12"/>
  <c r="N58" i="8"/>
  <c r="N151" i="12"/>
  <c r="N46" i="12"/>
  <c r="M3" i="8"/>
  <c r="M3" i="9"/>
  <c r="M4" i="7"/>
  <c r="N53" i="8"/>
  <c r="N34" i="8"/>
  <c r="N45" i="8" s="1"/>
  <c r="O46" i="8" s="1"/>
  <c r="N35" i="8"/>
  <c r="N57" i="8" s="1"/>
  <c r="N101" i="12"/>
  <c r="O2" i="7"/>
  <c r="O26" i="8"/>
  <c r="O23" i="8"/>
  <c r="N83" i="12"/>
  <c r="N17" i="12"/>
  <c r="N19" i="12" s="1"/>
  <c r="N32" i="12"/>
  <c r="N138" i="12"/>
  <c r="N4" i="16"/>
  <c r="N4" i="8"/>
  <c r="N4" i="12"/>
  <c r="N5" i="7"/>
  <c r="N4" i="9"/>
  <c r="O2" i="20" l="1"/>
  <c r="O2" i="24"/>
  <c r="O2" i="23"/>
  <c r="O2" i="22"/>
  <c r="O2" i="21"/>
  <c r="N177" i="23"/>
  <c r="N177" i="24"/>
  <c r="N177" i="22"/>
  <c r="N177" i="21"/>
  <c r="N177" i="12"/>
  <c r="O65" i="8"/>
  <c r="O67" i="8" s="1"/>
  <c r="O68" i="8" s="1"/>
  <c r="O93" i="16"/>
  <c r="O94" i="16" s="1"/>
  <c r="O119" i="16" s="1"/>
  <c r="O62" i="16"/>
  <c r="O126" i="16"/>
  <c r="O52" i="16"/>
  <c r="O116" i="16"/>
  <c r="O117" i="16" s="1"/>
  <c r="O120" i="16" s="1"/>
  <c r="N59" i="8"/>
  <c r="O52" i="8"/>
  <c r="O54" i="8" s="1"/>
  <c r="O29" i="16"/>
  <c r="O2" i="16"/>
  <c r="P22" i="8"/>
  <c r="O2" i="9"/>
  <c r="O39" i="8"/>
  <c r="O40" i="8" s="1"/>
  <c r="O2" i="12"/>
  <c r="O3" i="7"/>
  <c r="O49" i="8"/>
  <c r="O50" i="8" s="1"/>
  <c r="O84" i="8"/>
  <c r="O86" i="8" s="1"/>
  <c r="O2" i="8"/>
  <c r="O25" i="8"/>
  <c r="O27" i="8" s="1"/>
  <c r="O33" i="8"/>
  <c r="O101" i="24" l="1"/>
  <c r="O101" i="23"/>
  <c r="O101" i="22"/>
  <c r="O101" i="21"/>
  <c r="O83" i="24"/>
  <c r="O32" i="23"/>
  <c r="O83" i="23"/>
  <c r="O138" i="24"/>
  <c r="O138" i="23"/>
  <c r="O83" i="22"/>
  <c r="O17" i="22"/>
  <c r="O19" i="22" s="1"/>
  <c r="O17" i="23"/>
  <c r="O19" i="23" s="1"/>
  <c r="O17" i="24"/>
  <c r="O19" i="24" s="1"/>
  <c r="O138" i="22"/>
  <c r="O138" i="21"/>
  <c r="O32" i="22"/>
  <c r="O32" i="21"/>
  <c r="O17" i="21"/>
  <c r="O19" i="21" s="1"/>
  <c r="O32" i="24"/>
  <c r="O83" i="21"/>
  <c r="O151" i="24"/>
  <c r="O151" i="23"/>
  <c r="O46" i="24"/>
  <c r="O46" i="23"/>
  <c r="O151" i="22"/>
  <c r="O97" i="23"/>
  <c r="O97" i="24"/>
  <c r="O46" i="22"/>
  <c r="O97" i="21"/>
  <c r="O151" i="21"/>
  <c r="O97" i="22"/>
  <c r="O46" i="21"/>
  <c r="N3" i="20"/>
  <c r="N3" i="24"/>
  <c r="N3" i="22"/>
  <c r="N3" i="23"/>
  <c r="N3" i="21"/>
  <c r="O4" i="20"/>
  <c r="O4" i="23"/>
  <c r="O4" i="24"/>
  <c r="O4" i="22"/>
  <c r="O4" i="21"/>
  <c r="O64" i="8"/>
  <c r="O151" i="12"/>
  <c r="N3" i="16"/>
  <c r="O121" i="16"/>
  <c r="O124" i="16" s="1"/>
  <c r="O127" i="16" s="1"/>
  <c r="O129" i="16" s="1"/>
  <c r="N3" i="9"/>
  <c r="O97" i="12"/>
  <c r="O58" i="8"/>
  <c r="N4" i="7"/>
  <c r="N3" i="8"/>
  <c r="N3" i="12"/>
  <c r="O46" i="12"/>
  <c r="O53" i="8"/>
  <c r="P23" i="8"/>
  <c r="P2" i="7"/>
  <c r="P26" i="8"/>
  <c r="O34" i="8"/>
  <c r="O45" i="8" s="1"/>
  <c r="P46" i="8" s="1"/>
  <c r="O35" i="8"/>
  <c r="O57" i="8" s="1"/>
  <c r="O17" i="12"/>
  <c r="O19" i="12" s="1"/>
  <c r="O83" i="12"/>
  <c r="O138" i="12"/>
  <c r="O32" i="12"/>
  <c r="O4" i="16"/>
  <c r="O4" i="9"/>
  <c r="O4" i="12"/>
  <c r="O4" i="8"/>
  <c r="O5" i="7"/>
  <c r="O101" i="12"/>
  <c r="P2" i="20" l="1"/>
  <c r="P2" i="23"/>
  <c r="P2" i="24"/>
  <c r="P2" i="22"/>
  <c r="P2" i="21"/>
  <c r="O177" i="12"/>
  <c r="O177" i="24"/>
  <c r="O177" i="23"/>
  <c r="O177" i="22"/>
  <c r="O177" i="21"/>
  <c r="P65" i="8"/>
  <c r="P67" i="8" s="1"/>
  <c r="P68" i="8" s="1"/>
  <c r="P93" i="16"/>
  <c r="P126" i="16"/>
  <c r="P52" i="16"/>
  <c r="P116" i="16"/>
  <c r="P62" i="16"/>
  <c r="O59" i="8"/>
  <c r="P52" i="8"/>
  <c r="P54" i="8" s="1"/>
  <c r="P29" i="16"/>
  <c r="P2" i="16"/>
  <c r="P33" i="8"/>
  <c r="P2" i="8"/>
  <c r="P2" i="9"/>
  <c r="P49" i="8"/>
  <c r="P50" i="8" s="1"/>
  <c r="P3" i="7"/>
  <c r="Q22" i="8"/>
  <c r="P2" i="12"/>
  <c r="P39" i="8"/>
  <c r="P40" i="8" s="1"/>
  <c r="P84" i="8"/>
  <c r="P86" i="8" s="1"/>
  <c r="P25" i="8"/>
  <c r="P27" i="8" s="1"/>
  <c r="P151" i="24" l="1"/>
  <c r="P151" i="23"/>
  <c r="P97" i="24"/>
  <c r="P46" i="24"/>
  <c r="P97" i="23"/>
  <c r="P46" i="22"/>
  <c r="P151" i="21"/>
  <c r="P97" i="21"/>
  <c r="P46" i="21"/>
  <c r="P151" i="22"/>
  <c r="P97" i="22"/>
  <c r="P46" i="23"/>
  <c r="O3" i="20"/>
  <c r="O3" i="24"/>
  <c r="O3" i="22"/>
  <c r="O3" i="23"/>
  <c r="O3" i="21"/>
  <c r="P83" i="23"/>
  <c r="P138" i="24"/>
  <c r="P138" i="23"/>
  <c r="P17" i="24"/>
  <c r="P19" i="24" s="1"/>
  <c r="P32" i="24"/>
  <c r="P83" i="24"/>
  <c r="P17" i="23"/>
  <c r="P19" i="23" s="1"/>
  <c r="P32" i="23"/>
  <c r="P138" i="22"/>
  <c r="P17" i="22"/>
  <c r="P19" i="22" s="1"/>
  <c r="P17" i="21"/>
  <c r="P19" i="21" s="1"/>
  <c r="P83" i="21"/>
  <c r="P32" i="21"/>
  <c r="P83" i="22"/>
  <c r="P32" i="22"/>
  <c r="P138" i="21"/>
  <c r="P101" i="23"/>
  <c r="P101" i="24"/>
  <c r="P101" i="22"/>
  <c r="P101" i="21"/>
  <c r="P4" i="20"/>
  <c r="P4" i="24"/>
  <c r="P4" i="22"/>
  <c r="P4" i="23"/>
  <c r="P4" i="21"/>
  <c r="P101" i="12"/>
  <c r="O3" i="12"/>
  <c r="O3" i="16"/>
  <c r="O4" i="7"/>
  <c r="O3" i="8"/>
  <c r="O3" i="9"/>
  <c r="P46" i="12"/>
  <c r="P151" i="12"/>
  <c r="P97" i="12"/>
  <c r="P53" i="8"/>
  <c r="P58" i="8"/>
  <c r="P64" i="8"/>
  <c r="P83" i="12"/>
  <c r="P138" i="12"/>
  <c r="P32" i="12"/>
  <c r="P17" i="12"/>
  <c r="P19" i="12" s="1"/>
  <c r="Q23" i="8"/>
  <c r="Q2" i="7"/>
  <c r="Q26" i="8"/>
  <c r="P34" i="8"/>
  <c r="P45" i="8" s="1"/>
  <c r="Q46" i="8" s="1"/>
  <c r="P35" i="8"/>
  <c r="P57" i="8" s="1"/>
  <c r="P4" i="16"/>
  <c r="P4" i="8"/>
  <c r="P4" i="12"/>
  <c r="P5" i="7"/>
  <c r="P4" i="9"/>
  <c r="Q2" i="20" l="1"/>
  <c r="Q2" i="24"/>
  <c r="Q2" i="22"/>
  <c r="Q2" i="23"/>
  <c r="Q2" i="21"/>
  <c r="P177" i="24"/>
  <c r="P177" i="23"/>
  <c r="P177" i="22"/>
  <c r="P177" i="21"/>
  <c r="Q65" i="8"/>
  <c r="Q67" i="8" s="1"/>
  <c r="Q68" i="8" s="1"/>
  <c r="P177" i="12"/>
  <c r="Q52" i="16"/>
  <c r="Q116" i="16"/>
  <c r="Q62" i="16"/>
  <c r="Q126" i="16"/>
  <c r="Q93" i="16"/>
  <c r="P59" i="8"/>
  <c r="Q52" i="8"/>
  <c r="Q54" i="8" s="1"/>
  <c r="Q29" i="16"/>
  <c r="Q2" i="16"/>
  <c r="Q49" i="8"/>
  <c r="Q50" i="8" s="1"/>
  <c r="Q2" i="8"/>
  <c r="Q2" i="12"/>
  <c r="Q84" i="8"/>
  <c r="Q86" i="8" s="1"/>
  <c r="Q25" i="8"/>
  <c r="Q27" i="8" s="1"/>
  <c r="R22" i="8"/>
  <c r="Q3" i="7"/>
  <c r="Q33" i="8"/>
  <c r="Q2" i="9"/>
  <c r="Q39" i="8"/>
  <c r="Q40" i="8" s="1"/>
  <c r="Q97" i="24" l="1"/>
  <c r="Q97" i="23"/>
  <c r="Q46" i="23"/>
  <c r="Q46" i="24"/>
  <c r="Q151" i="24"/>
  <c r="Q46" i="22"/>
  <c r="Q97" i="22"/>
  <c r="Q151" i="23"/>
  <c r="Q97" i="21"/>
  <c r="Q151" i="22"/>
  <c r="Q46" i="21"/>
  <c r="Q151" i="21"/>
  <c r="Q4" i="20"/>
  <c r="Q4" i="24"/>
  <c r="Q4" i="23"/>
  <c r="Q4" i="22"/>
  <c r="Q4" i="21"/>
  <c r="P3" i="20"/>
  <c r="P3" i="24"/>
  <c r="P3" i="22"/>
  <c r="P3" i="23"/>
  <c r="P3" i="21"/>
  <c r="Q138" i="24"/>
  <c r="Q138" i="23"/>
  <c r="Q17" i="24"/>
  <c r="Q19" i="24" s="1"/>
  <c r="Q32" i="24"/>
  <c r="Q83" i="24"/>
  <c r="Q32" i="23"/>
  <c r="Q83" i="22"/>
  <c r="Q17" i="22"/>
  <c r="Q19" i="22" s="1"/>
  <c r="Q83" i="23"/>
  <c r="Q17" i="23"/>
  <c r="Q19" i="23" s="1"/>
  <c r="Q138" i="22"/>
  <c r="Q17" i="21"/>
  <c r="Q19" i="21" s="1"/>
  <c r="Q32" i="22"/>
  <c r="Q32" i="21"/>
  <c r="Q83" i="21"/>
  <c r="Q138" i="21"/>
  <c r="Q101" i="24"/>
  <c r="Q101" i="23"/>
  <c r="Q101" i="22"/>
  <c r="Q101" i="21"/>
  <c r="Q64" i="8"/>
  <c r="Q97" i="12"/>
  <c r="P3" i="16"/>
  <c r="Q46" i="12"/>
  <c r="P4" i="7"/>
  <c r="P3" i="8"/>
  <c r="P3" i="12"/>
  <c r="P3" i="9"/>
  <c r="Q58" i="8"/>
  <c r="Q151" i="12"/>
  <c r="Q101" i="12"/>
  <c r="Q53" i="8"/>
  <c r="R2" i="7"/>
  <c r="R26" i="8"/>
  <c r="R23" i="8"/>
  <c r="Q4" i="16"/>
  <c r="Q5" i="7"/>
  <c r="Q4" i="12"/>
  <c r="Q4" i="8"/>
  <c r="Q4" i="9"/>
  <c r="Q32" i="12"/>
  <c r="Q17" i="12"/>
  <c r="Q19" i="12" s="1"/>
  <c r="Q138" i="12"/>
  <c r="Q83" i="12"/>
  <c r="Q35" i="8"/>
  <c r="Q57" i="8" s="1"/>
  <c r="Q34" i="8"/>
  <c r="Q45" i="8" s="1"/>
  <c r="R46" i="8" s="1"/>
  <c r="Q177" i="12" l="1"/>
  <c r="Q177" i="24"/>
  <c r="Q177" i="23"/>
  <c r="Q177" i="22"/>
  <c r="Q177" i="21"/>
  <c r="R2" i="20"/>
  <c r="R2" i="24"/>
  <c r="R2" i="22"/>
  <c r="R2" i="23"/>
  <c r="R2" i="21"/>
  <c r="R65" i="8"/>
  <c r="R67" i="8" s="1"/>
  <c r="R68" i="8" s="1"/>
  <c r="R52" i="16"/>
  <c r="R116" i="16"/>
  <c r="R93" i="16"/>
  <c r="R62" i="16"/>
  <c r="R126" i="16"/>
  <c r="Q59" i="8"/>
  <c r="R52" i="8"/>
  <c r="R54" i="8" s="1"/>
  <c r="R29" i="16"/>
  <c r="R2" i="16"/>
  <c r="R39" i="8"/>
  <c r="R40" i="8" s="1"/>
  <c r="R3" i="7"/>
  <c r="R2" i="8"/>
  <c r="R49" i="8"/>
  <c r="R2" i="12"/>
  <c r="R2" i="9"/>
  <c r="R25" i="8"/>
  <c r="R27" i="8" s="1"/>
  <c r="R33" i="8"/>
  <c r="R84" i="8"/>
  <c r="R86" i="8" s="1"/>
  <c r="Q3" i="20" l="1"/>
  <c r="Q3" i="24"/>
  <c r="Q3" i="23"/>
  <c r="Q3" i="21"/>
  <c r="Q3" i="22"/>
  <c r="R4" i="20"/>
  <c r="R4" i="24"/>
  <c r="R4" i="23"/>
  <c r="R4" i="22"/>
  <c r="R4" i="21"/>
  <c r="R17" i="24"/>
  <c r="R19" i="24" s="1"/>
  <c r="R83" i="24"/>
  <c r="R83" i="23"/>
  <c r="R32" i="24"/>
  <c r="R32" i="23"/>
  <c r="R17" i="23"/>
  <c r="R19" i="23" s="1"/>
  <c r="R138" i="23"/>
  <c r="R138" i="22"/>
  <c r="R138" i="24"/>
  <c r="R32" i="22"/>
  <c r="R17" i="22"/>
  <c r="R19" i="22" s="1"/>
  <c r="R32" i="21"/>
  <c r="R83" i="21"/>
  <c r="R17" i="21"/>
  <c r="R19" i="21" s="1"/>
  <c r="R83" i="22"/>
  <c r="R138" i="21"/>
  <c r="R97" i="24"/>
  <c r="R97" i="23"/>
  <c r="R46" i="23"/>
  <c r="R46" i="24"/>
  <c r="R151" i="24"/>
  <c r="R151" i="23"/>
  <c r="R97" i="22"/>
  <c r="R151" i="22"/>
  <c r="R46" i="21"/>
  <c r="R46" i="22"/>
  <c r="R151" i="21"/>
  <c r="R97" i="21"/>
  <c r="Q3" i="9"/>
  <c r="R50" i="8"/>
  <c r="Q4" i="7"/>
  <c r="Q3" i="12"/>
  <c r="Q3" i="16"/>
  <c r="Q3" i="8"/>
  <c r="R151" i="12"/>
  <c r="R97" i="12"/>
  <c r="R46" i="12"/>
  <c r="R58" i="8"/>
  <c r="R4" i="16"/>
  <c r="R5" i="7"/>
  <c r="R4" i="12"/>
  <c r="R4" i="8"/>
  <c r="R4" i="9"/>
  <c r="R17" i="12"/>
  <c r="R19" i="12" s="1"/>
  <c r="R83" i="12"/>
  <c r="R138" i="12"/>
  <c r="R32" i="12"/>
  <c r="R35" i="8"/>
  <c r="R57" i="8" s="1"/>
  <c r="R34" i="8"/>
  <c r="R45" i="8" s="1"/>
  <c r="R101" i="24" l="1"/>
  <c r="R101" i="23"/>
  <c r="R101" i="22"/>
  <c r="R101" i="21"/>
  <c r="R53" i="8"/>
  <c r="R101" i="12"/>
  <c r="R64" i="8"/>
  <c r="H65" i="8"/>
  <c r="H67" i="8" s="1"/>
  <c r="R59" i="8"/>
  <c r="H27" i="8"/>
  <c r="F55" i="8"/>
  <c r="F76" i="8" s="1"/>
  <c r="H46" i="8"/>
  <c r="F69" i="8"/>
  <c r="F77" i="8" s="1"/>
  <c r="R177" i="24" l="1"/>
  <c r="R177" i="23"/>
  <c r="R177" i="22"/>
  <c r="R177" i="21"/>
  <c r="R3" i="20"/>
  <c r="R3" i="24"/>
  <c r="R3" i="22"/>
  <c r="R3" i="23"/>
  <c r="R3" i="21"/>
  <c r="R3" i="9"/>
  <c r="H68" i="8"/>
  <c r="R177" i="12"/>
  <c r="H93" i="16"/>
  <c r="H62" i="16"/>
  <c r="H52" i="16"/>
  <c r="H116" i="16"/>
  <c r="H126" i="16"/>
  <c r="R4" i="7"/>
  <c r="H52" i="8"/>
  <c r="H29" i="16"/>
  <c r="R3" i="8"/>
  <c r="R3" i="12"/>
  <c r="R3" i="16"/>
  <c r="H54" i="8"/>
  <c r="H50" i="8"/>
  <c r="H40" i="8"/>
  <c r="H151" i="24" l="1"/>
  <c r="H151" i="23"/>
  <c r="H97" i="24"/>
  <c r="H46" i="23"/>
  <c r="H46" i="22"/>
  <c r="H46" i="24"/>
  <c r="H151" i="22"/>
  <c r="H97" i="22"/>
  <c r="H151" i="21"/>
  <c r="H97" i="21"/>
  <c r="H46" i="21"/>
  <c r="H97" i="23"/>
  <c r="H83" i="23"/>
  <c r="H138" i="24"/>
  <c r="H138" i="23"/>
  <c r="H17" i="24"/>
  <c r="H32" i="24"/>
  <c r="H83" i="24"/>
  <c r="H17" i="23"/>
  <c r="H32" i="23"/>
  <c r="H32" i="22"/>
  <c r="H17" i="21"/>
  <c r="H83" i="22"/>
  <c r="H138" i="22"/>
  <c r="H32" i="21"/>
  <c r="H83" i="21"/>
  <c r="H138" i="21"/>
  <c r="H17" i="22"/>
  <c r="H101" i="23"/>
  <c r="H101" i="24"/>
  <c r="H101" i="22"/>
  <c r="H101" i="21"/>
  <c r="H46" i="12"/>
  <c r="H97" i="12"/>
  <c r="H151" i="12"/>
  <c r="H58" i="8"/>
  <c r="H101" i="12"/>
  <c r="H53" i="8"/>
  <c r="H64" i="8"/>
  <c r="F36" i="8"/>
  <c r="F75" i="8" s="1"/>
  <c r="H35" i="8"/>
  <c r="H57" i="8" s="1"/>
  <c r="H17" i="12"/>
  <c r="H83" i="12"/>
  <c r="H32" i="12"/>
  <c r="H138" i="12"/>
  <c r="H34" i="8"/>
  <c r="H45" i="8" s="1"/>
  <c r="H177" i="24" l="1"/>
  <c r="H177" i="23"/>
  <c r="H177" i="21"/>
  <c r="H177" i="22"/>
  <c r="H177" i="12"/>
  <c r="F78" i="8"/>
  <c r="F13" i="9" s="1"/>
  <c r="J55" i="16" l="1"/>
  <c r="J57" i="16" l="1"/>
  <c r="J60" i="16" l="1"/>
  <c r="J63" i="16" s="1"/>
  <c r="J65" i="16" l="1"/>
  <c r="J67" i="16" s="1"/>
  <c r="J131" i="16"/>
  <c r="J133" i="16" s="1"/>
  <c r="J69" i="16" l="1"/>
  <c r="K30" i="16" l="1"/>
  <c r="K55" i="16" l="1"/>
  <c r="K53" i="16"/>
  <c r="K56" i="16" s="1"/>
  <c r="L30" i="16"/>
  <c r="L55" i="16" l="1"/>
  <c r="L53" i="16"/>
  <c r="L56" i="16" s="1"/>
  <c r="K57" i="16" l="1"/>
  <c r="K60" i="16" s="1"/>
  <c r="K63" i="16" s="1"/>
  <c r="L57" i="16"/>
  <c r="M55" i="16" l="1"/>
  <c r="L60" i="16"/>
  <c r="L63" i="16" s="1"/>
  <c r="K65" i="16" l="1"/>
  <c r="K67" i="16" s="1"/>
  <c r="K131" i="16"/>
  <c r="K133" i="16" s="1"/>
  <c r="K135" i="16" s="1"/>
  <c r="M57" i="16"/>
  <c r="N30" i="16"/>
  <c r="K69" i="24" l="1"/>
  <c r="K70" i="24" s="1"/>
  <c r="K74" i="24" s="1"/>
  <c r="K75" i="24" s="1"/>
  <c r="K69" i="22"/>
  <c r="K70" i="22" s="1"/>
  <c r="K74" i="22" s="1"/>
  <c r="K75" i="22" s="1"/>
  <c r="K69" i="23"/>
  <c r="K70" i="23" s="1"/>
  <c r="K74" i="23" s="1"/>
  <c r="K75" i="23" s="1"/>
  <c r="K69" i="21"/>
  <c r="K70" i="21" s="1"/>
  <c r="K74" i="21" s="1"/>
  <c r="K75" i="21" s="1"/>
  <c r="K69" i="12"/>
  <c r="K70" i="12" s="1"/>
  <c r="K74" i="12" s="1"/>
  <c r="K75" i="12" s="1"/>
  <c r="K86" i="12" s="1"/>
  <c r="N55" i="16"/>
  <c r="M60" i="16"/>
  <c r="M63" i="16" s="1"/>
  <c r="L65" i="16"/>
  <c r="L67" i="16" s="1"/>
  <c r="L131" i="16"/>
  <c r="L133" i="16" s="1"/>
  <c r="L135" i="16" s="1"/>
  <c r="K69" i="16"/>
  <c r="K71" i="16" s="1"/>
  <c r="N53" i="16"/>
  <c r="N56" i="16" s="1"/>
  <c r="K86" i="21" l="1"/>
  <c r="K91" i="21" s="1"/>
  <c r="K79" i="21"/>
  <c r="K80" i="21" s="1"/>
  <c r="K86" i="23"/>
  <c r="K79" i="23"/>
  <c r="K80" i="23" s="1"/>
  <c r="K14" i="24"/>
  <c r="K15" i="24" s="1"/>
  <c r="K23" i="24" s="1"/>
  <c r="K24" i="24" s="1"/>
  <c r="K125" i="23"/>
  <c r="K126" i="23" s="1"/>
  <c r="K129" i="23" s="1"/>
  <c r="K130" i="23" s="1"/>
  <c r="K14" i="23"/>
  <c r="K15" i="23" s="1"/>
  <c r="K23" i="23" s="1"/>
  <c r="K24" i="23" s="1"/>
  <c r="K125" i="24"/>
  <c r="K126" i="24" s="1"/>
  <c r="K129" i="24" s="1"/>
  <c r="K130" i="24" s="1"/>
  <c r="K14" i="22"/>
  <c r="K15" i="22" s="1"/>
  <c r="K23" i="22" s="1"/>
  <c r="K24" i="22" s="1"/>
  <c r="K125" i="21"/>
  <c r="K126" i="21" s="1"/>
  <c r="K129" i="21" s="1"/>
  <c r="K130" i="21" s="1"/>
  <c r="K14" i="21"/>
  <c r="K15" i="21" s="1"/>
  <c r="K23" i="21" s="1"/>
  <c r="K24" i="21" s="1"/>
  <c r="K125" i="22"/>
  <c r="K126" i="22" s="1"/>
  <c r="K129" i="22" s="1"/>
  <c r="K130" i="22" s="1"/>
  <c r="K86" i="22"/>
  <c r="K79" i="22"/>
  <c r="K80" i="22" s="1"/>
  <c r="L69" i="24"/>
  <c r="L70" i="24" s="1"/>
  <c r="L74" i="24" s="1"/>
  <c r="L69" i="22"/>
  <c r="L70" i="22" s="1"/>
  <c r="L74" i="22" s="1"/>
  <c r="L69" i="23"/>
  <c r="L70" i="23" s="1"/>
  <c r="L74" i="23" s="1"/>
  <c r="L69" i="21"/>
  <c r="L70" i="21" s="1"/>
  <c r="L74" i="21" s="1"/>
  <c r="K79" i="24"/>
  <c r="K80" i="24" s="1"/>
  <c r="K86" i="24"/>
  <c r="K91" i="24" s="1"/>
  <c r="K79" i="12"/>
  <c r="K80" i="12" s="1"/>
  <c r="K87" i="12" s="1"/>
  <c r="K88" i="12" s="1"/>
  <c r="K91" i="12"/>
  <c r="K14" i="12"/>
  <c r="K15" i="12" s="1"/>
  <c r="K23" i="12" s="1"/>
  <c r="K24" i="12" s="1"/>
  <c r="K40" i="12" s="1"/>
  <c r="K125" i="12"/>
  <c r="K126" i="12" s="1"/>
  <c r="K129" i="12" s="1"/>
  <c r="K130" i="12" s="1"/>
  <c r="L69" i="16"/>
  <c r="L71" i="16" s="1"/>
  <c r="N57" i="16"/>
  <c r="O30" i="16"/>
  <c r="K146" i="24" l="1"/>
  <c r="K141" i="24"/>
  <c r="K134" i="24"/>
  <c r="K135" i="24" s="1"/>
  <c r="K35" i="24"/>
  <c r="K28" i="24"/>
  <c r="K29" i="24" s="1"/>
  <c r="K40" i="24"/>
  <c r="K141" i="22"/>
  <c r="K134" i="22"/>
  <c r="K135" i="22" s="1"/>
  <c r="K146" i="22"/>
  <c r="K87" i="23"/>
  <c r="K88" i="23" s="1"/>
  <c r="K106" i="23"/>
  <c r="K146" i="23"/>
  <c r="K134" i="23"/>
  <c r="K135" i="23" s="1"/>
  <c r="K141" i="23"/>
  <c r="K28" i="21"/>
  <c r="K29" i="21" s="1"/>
  <c r="K40" i="21"/>
  <c r="K35" i="21"/>
  <c r="K91" i="23"/>
  <c r="K87" i="24"/>
  <c r="K88" i="24" s="1"/>
  <c r="K106" i="24"/>
  <c r="K141" i="21"/>
  <c r="K134" i="21"/>
  <c r="K135" i="21" s="1"/>
  <c r="K146" i="21"/>
  <c r="K106" i="21"/>
  <c r="K87" i="21"/>
  <c r="K88" i="21" s="1"/>
  <c r="K40" i="23"/>
  <c r="K35" i="23"/>
  <c r="K28" i="23"/>
  <c r="K29" i="23" s="1"/>
  <c r="K106" i="22"/>
  <c r="K87" i="22"/>
  <c r="K88" i="22" s="1"/>
  <c r="K91" i="22"/>
  <c r="L14" i="24"/>
  <c r="L15" i="24" s="1"/>
  <c r="L23" i="24" s="1"/>
  <c r="L125" i="24"/>
  <c r="L126" i="24" s="1"/>
  <c r="L129" i="24" s="1"/>
  <c r="L125" i="23"/>
  <c r="L126" i="23" s="1"/>
  <c r="L129" i="23" s="1"/>
  <c r="L125" i="22"/>
  <c r="L126" i="22" s="1"/>
  <c r="L129" i="22" s="1"/>
  <c r="L14" i="22"/>
  <c r="L15" i="22" s="1"/>
  <c r="L23" i="22" s="1"/>
  <c r="L14" i="23"/>
  <c r="L15" i="23" s="1"/>
  <c r="L23" i="23" s="1"/>
  <c r="L125" i="21"/>
  <c r="L126" i="21" s="1"/>
  <c r="L129" i="21" s="1"/>
  <c r="L14" i="21"/>
  <c r="L15" i="21" s="1"/>
  <c r="L23" i="21" s="1"/>
  <c r="K40" i="22"/>
  <c r="K35" i="22"/>
  <c r="K28" i="22"/>
  <c r="K29" i="22" s="1"/>
  <c r="K106" i="12"/>
  <c r="K185" i="12" s="1"/>
  <c r="K192" i="12" s="1"/>
  <c r="K197" i="12" s="1"/>
  <c r="L69" i="12"/>
  <c r="L70" i="12" s="1"/>
  <c r="L74" i="12" s="1"/>
  <c r="K35" i="12"/>
  <c r="L85" i="12"/>
  <c r="K92" i="12"/>
  <c r="K93" i="12" s="1"/>
  <c r="K102" i="12"/>
  <c r="K103" i="12" s="1"/>
  <c r="K28" i="12"/>
  <c r="K29" i="12" s="1"/>
  <c r="K51" i="12" s="1"/>
  <c r="K141" i="12"/>
  <c r="K146" i="12"/>
  <c r="K134" i="12"/>
  <c r="K135" i="12" s="1"/>
  <c r="K182" i="12" s="1"/>
  <c r="L14" i="12"/>
  <c r="L15" i="12" s="1"/>
  <c r="L23" i="12" s="1"/>
  <c r="L125" i="12"/>
  <c r="L126" i="12" s="1"/>
  <c r="L129" i="12" s="1"/>
  <c r="O55" i="16"/>
  <c r="N60" i="16"/>
  <c r="N63" i="16" s="1"/>
  <c r="M65" i="16"/>
  <c r="M131" i="16"/>
  <c r="M133" i="16" s="1"/>
  <c r="M135" i="16" s="1"/>
  <c r="M69" i="12" s="1"/>
  <c r="M70" i="12" s="1"/>
  <c r="O53" i="16"/>
  <c r="O56" i="16" s="1"/>
  <c r="K102" i="22" l="1"/>
  <c r="K103" i="22" s="1"/>
  <c r="K92" i="22"/>
  <c r="K93" i="22" s="1"/>
  <c r="L85" i="22"/>
  <c r="K155" i="22"/>
  <c r="K182" i="22"/>
  <c r="K189" i="22" s="1"/>
  <c r="K142" i="22"/>
  <c r="K143" i="22" s="1"/>
  <c r="K36" i="21"/>
  <c r="K37" i="21" s="1"/>
  <c r="K51" i="21"/>
  <c r="K185" i="22"/>
  <c r="K192" i="22" s="1"/>
  <c r="M69" i="23"/>
  <c r="M70" i="23" s="1"/>
  <c r="M74" i="23" s="1"/>
  <c r="M75" i="23" s="1"/>
  <c r="M69" i="22"/>
  <c r="M70" i="22" s="1"/>
  <c r="M74" i="22" s="1"/>
  <c r="M75" i="22" s="1"/>
  <c r="M69" i="21"/>
  <c r="M70" i="21" s="1"/>
  <c r="M74" i="21" s="1"/>
  <c r="M75" i="21" s="1"/>
  <c r="M69" i="24"/>
  <c r="M70" i="24" s="1"/>
  <c r="M74" i="24" s="1"/>
  <c r="M75" i="24" s="1"/>
  <c r="K36" i="23"/>
  <c r="K37" i="23" s="1"/>
  <c r="K51" i="23"/>
  <c r="K185" i="24"/>
  <c r="K192" i="24" s="1"/>
  <c r="K155" i="23"/>
  <c r="K142" i="23"/>
  <c r="K143" i="23" s="1"/>
  <c r="K182" i="23"/>
  <c r="K189" i="23" s="1"/>
  <c r="K36" i="24"/>
  <c r="K37" i="24" s="1"/>
  <c r="K51" i="24"/>
  <c r="K51" i="22"/>
  <c r="K36" i="22"/>
  <c r="K37" i="22" s="1"/>
  <c r="L85" i="24"/>
  <c r="K102" i="24"/>
  <c r="K103" i="24" s="1"/>
  <c r="K92" i="24"/>
  <c r="K93" i="24" s="1"/>
  <c r="L85" i="23"/>
  <c r="K102" i="23"/>
  <c r="K103" i="23" s="1"/>
  <c r="K92" i="23"/>
  <c r="K93" i="23" s="1"/>
  <c r="K185" i="23"/>
  <c r="K192" i="23" s="1"/>
  <c r="K155" i="24"/>
  <c r="K182" i="24"/>
  <c r="K189" i="24" s="1"/>
  <c r="K142" i="24"/>
  <c r="K143" i="24" s="1"/>
  <c r="K102" i="21"/>
  <c r="K103" i="21" s="1"/>
  <c r="K92" i="21"/>
  <c r="K93" i="21" s="1"/>
  <c r="L85" i="21"/>
  <c r="K155" i="21"/>
  <c r="K142" i="21"/>
  <c r="K143" i="21" s="1"/>
  <c r="K182" i="21"/>
  <c r="K189" i="21" s="1"/>
  <c r="K185" i="21"/>
  <c r="K192" i="21" s="1"/>
  <c r="K98" i="12"/>
  <c r="K99" i="12" s="1"/>
  <c r="K107" i="12" s="1"/>
  <c r="K108" i="12" s="1"/>
  <c r="K187" i="12" s="1"/>
  <c r="K194" i="12" s="1"/>
  <c r="K170" i="12"/>
  <c r="K173" i="12" s="1"/>
  <c r="K36" i="12"/>
  <c r="K37" i="12" s="1"/>
  <c r="K41" i="12" s="1"/>
  <c r="K42" i="12" s="1"/>
  <c r="L78" i="12"/>
  <c r="L73" i="12"/>
  <c r="L75" i="12" s="1"/>
  <c r="L90" i="12"/>
  <c r="K142" i="12"/>
  <c r="K143" i="12" s="1"/>
  <c r="K155" i="12"/>
  <c r="K189" i="12" s="1"/>
  <c r="K196" i="12" s="1"/>
  <c r="M67" i="16"/>
  <c r="M69" i="16" s="1"/>
  <c r="O57" i="16"/>
  <c r="P30" i="16"/>
  <c r="K147" i="21" l="1"/>
  <c r="K148" i="21" s="1"/>
  <c r="K152" i="21" s="1"/>
  <c r="K153" i="21" s="1"/>
  <c r="L140" i="21"/>
  <c r="L140" i="22"/>
  <c r="K147" i="22"/>
  <c r="K148" i="22" s="1"/>
  <c r="K152" i="22" s="1"/>
  <c r="K153" i="22" s="1"/>
  <c r="L34" i="21"/>
  <c r="K41" i="21"/>
  <c r="K42" i="21" s="1"/>
  <c r="K147" i="24"/>
  <c r="K148" i="24" s="1"/>
  <c r="K152" i="24" s="1"/>
  <c r="K153" i="24" s="1"/>
  <c r="L140" i="24"/>
  <c r="K197" i="21"/>
  <c r="L34" i="22"/>
  <c r="K41" i="22"/>
  <c r="K42" i="22" s="1"/>
  <c r="M86" i="24"/>
  <c r="M91" i="24" s="1"/>
  <c r="M79" i="24"/>
  <c r="M80" i="24" s="1"/>
  <c r="K196" i="23"/>
  <c r="K170" i="24"/>
  <c r="K173" i="24" s="1"/>
  <c r="K98" i="24"/>
  <c r="K99" i="24" s="1"/>
  <c r="K107" i="24" s="1"/>
  <c r="K147" i="23"/>
  <c r="K148" i="23" s="1"/>
  <c r="K152" i="23" s="1"/>
  <c r="K153" i="23" s="1"/>
  <c r="L140" i="23"/>
  <c r="M86" i="22"/>
  <c r="M79" i="22"/>
  <c r="K41" i="24"/>
  <c r="K42" i="24" s="1"/>
  <c r="L34" i="24"/>
  <c r="M86" i="23"/>
  <c r="M91" i="23" s="1"/>
  <c r="M79" i="23"/>
  <c r="K196" i="22"/>
  <c r="K196" i="24"/>
  <c r="K197" i="23"/>
  <c r="L73" i="24"/>
  <c r="L75" i="24" s="1"/>
  <c r="L90" i="24"/>
  <c r="L78" i="24"/>
  <c r="K196" i="21"/>
  <c r="L78" i="21"/>
  <c r="L73" i="21"/>
  <c r="L75" i="21" s="1"/>
  <c r="L90" i="21"/>
  <c r="K170" i="23"/>
  <c r="K173" i="23" s="1"/>
  <c r="K98" i="23"/>
  <c r="K99" i="23" s="1"/>
  <c r="K107" i="23" s="1"/>
  <c r="K197" i="24"/>
  <c r="L73" i="22"/>
  <c r="L75" i="22" s="1"/>
  <c r="L90" i="22"/>
  <c r="L78" i="22"/>
  <c r="M86" i="21"/>
  <c r="M91" i="21" s="1"/>
  <c r="M79" i="21"/>
  <c r="K170" i="21"/>
  <c r="K173" i="21" s="1"/>
  <c r="K98" i="21"/>
  <c r="K99" i="21" s="1"/>
  <c r="K107" i="21" s="1"/>
  <c r="K197" i="22"/>
  <c r="K98" i="22"/>
  <c r="K99" i="22" s="1"/>
  <c r="K107" i="22" s="1"/>
  <c r="K170" i="22"/>
  <c r="K173" i="22" s="1"/>
  <c r="L78" i="23"/>
  <c r="L73" i="23"/>
  <c r="L75" i="23" s="1"/>
  <c r="L90" i="23"/>
  <c r="L34" i="23"/>
  <c r="K41" i="23"/>
  <c r="K42" i="23" s="1"/>
  <c r="K186" i="12"/>
  <c r="K193" i="12" s="1"/>
  <c r="K201" i="12" s="1"/>
  <c r="K47" i="12"/>
  <c r="K48" i="12" s="1"/>
  <c r="K52" i="12" s="1"/>
  <c r="K53" i="12" s="1"/>
  <c r="K61" i="12" s="1"/>
  <c r="K169" i="12"/>
  <c r="K172" i="12" s="1"/>
  <c r="K174" i="12" s="1"/>
  <c r="K176" i="12" s="1"/>
  <c r="K178" i="12" s="1"/>
  <c r="K13" i="20" s="1"/>
  <c r="K115" i="12"/>
  <c r="K160" i="12"/>
  <c r="K205" i="12"/>
  <c r="L34" i="12"/>
  <c r="L27" i="12" s="1"/>
  <c r="L39" i="12" s="1"/>
  <c r="L86" i="12"/>
  <c r="L91" i="12" s="1"/>
  <c r="L93" i="12" s="1"/>
  <c r="L79" i="12"/>
  <c r="L80" i="12" s="1"/>
  <c r="L140" i="12"/>
  <c r="K147" i="12"/>
  <c r="K148" i="12" s="1"/>
  <c r="K152" i="12" s="1"/>
  <c r="K153" i="12" s="1"/>
  <c r="M71" i="16"/>
  <c r="O60" i="16"/>
  <c r="O63" i="16" s="1"/>
  <c r="N65" i="16"/>
  <c r="N67" i="16" s="1"/>
  <c r="N131" i="16"/>
  <c r="N133" i="16" s="1"/>
  <c r="N135" i="16" s="1"/>
  <c r="P55" i="16"/>
  <c r="P53" i="16"/>
  <c r="P56" i="16" s="1"/>
  <c r="K198" i="22" l="1"/>
  <c r="K214" i="22" s="1"/>
  <c r="K216" i="22" s="1"/>
  <c r="K19" i="20" s="1"/>
  <c r="K198" i="23"/>
  <c r="K214" i="23" s="1"/>
  <c r="K216" i="23" s="1"/>
  <c r="K24" i="20" s="1"/>
  <c r="L22" i="24"/>
  <c r="L24" i="24" s="1"/>
  <c r="L27" i="24"/>
  <c r="L133" i="24"/>
  <c r="L145" i="24"/>
  <c r="L128" i="24"/>
  <c r="L130" i="24" s="1"/>
  <c r="L86" i="21"/>
  <c r="L91" i="21" s="1"/>
  <c r="L93" i="21" s="1"/>
  <c r="L79" i="21"/>
  <c r="L80" i="21" s="1"/>
  <c r="K186" i="22"/>
  <c r="K193" i="22" s="1"/>
  <c r="K108" i="22"/>
  <c r="M87" i="24"/>
  <c r="M88" i="24" s="1"/>
  <c r="M106" i="24"/>
  <c r="K169" i="21"/>
  <c r="K172" i="21" s="1"/>
  <c r="K174" i="21" s="1"/>
  <c r="K176" i="21" s="1"/>
  <c r="K178" i="21" s="1"/>
  <c r="K8" i="20" s="1"/>
  <c r="K47" i="21"/>
  <c r="K48" i="21" s="1"/>
  <c r="K52" i="21" s="1"/>
  <c r="K53" i="21" s="1"/>
  <c r="L86" i="22"/>
  <c r="L91" i="22" s="1"/>
  <c r="L93" i="22" s="1"/>
  <c r="L79" i="22"/>
  <c r="L80" i="22" s="1"/>
  <c r="M91" i="22"/>
  <c r="L22" i="21"/>
  <c r="L24" i="21" s="1"/>
  <c r="L27" i="21"/>
  <c r="L145" i="23"/>
  <c r="L133" i="23"/>
  <c r="L128" i="23"/>
  <c r="L130" i="23" s="1"/>
  <c r="K169" i="22"/>
  <c r="K172" i="22" s="1"/>
  <c r="K174" i="22" s="1"/>
  <c r="K176" i="22" s="1"/>
  <c r="K178" i="22" s="1"/>
  <c r="K18" i="20" s="1"/>
  <c r="K47" i="22"/>
  <c r="K48" i="22" s="1"/>
  <c r="K52" i="22" s="1"/>
  <c r="K53" i="22" s="1"/>
  <c r="K183" i="22"/>
  <c r="K190" i="22" s="1"/>
  <c r="K156" i="22"/>
  <c r="K157" i="22" s="1"/>
  <c r="K47" i="24"/>
  <c r="K48" i="24" s="1"/>
  <c r="K52" i="24" s="1"/>
  <c r="K53" i="24" s="1"/>
  <c r="K169" i="24"/>
  <c r="K172" i="24" s="1"/>
  <c r="K174" i="24" s="1"/>
  <c r="K176" i="24" s="1"/>
  <c r="K178" i="24" s="1"/>
  <c r="K28" i="20" s="1"/>
  <c r="L27" i="23"/>
  <c r="L22" i="23"/>
  <c r="L24" i="23" s="1"/>
  <c r="K186" i="21"/>
  <c r="K193" i="21" s="1"/>
  <c r="K108" i="21"/>
  <c r="K198" i="24"/>
  <c r="K156" i="23"/>
  <c r="K157" i="23" s="1"/>
  <c r="K183" i="23"/>
  <c r="K190" i="23" s="1"/>
  <c r="L27" i="22"/>
  <c r="L39" i="22" s="1"/>
  <c r="L22" i="22"/>
  <c r="L24" i="22" s="1"/>
  <c r="L128" i="22"/>
  <c r="L130" i="22" s="1"/>
  <c r="L145" i="22"/>
  <c r="L133" i="22"/>
  <c r="K156" i="24"/>
  <c r="K157" i="24" s="1"/>
  <c r="K183" i="24"/>
  <c r="K190" i="24" s="1"/>
  <c r="N69" i="23"/>
  <c r="N70" i="23" s="1"/>
  <c r="N74" i="23" s="1"/>
  <c r="N69" i="24"/>
  <c r="N70" i="24" s="1"/>
  <c r="N74" i="24" s="1"/>
  <c r="N69" i="21"/>
  <c r="N70" i="21" s="1"/>
  <c r="N74" i="21" s="1"/>
  <c r="N69" i="22"/>
  <c r="N70" i="22" s="1"/>
  <c r="N74" i="22" s="1"/>
  <c r="K186" i="23"/>
  <c r="K193" i="23" s="1"/>
  <c r="K108" i="23"/>
  <c r="K186" i="24"/>
  <c r="K193" i="24" s="1"/>
  <c r="K108" i="24"/>
  <c r="L128" i="21"/>
  <c r="L130" i="21" s="1"/>
  <c r="L145" i="21"/>
  <c r="L133" i="21"/>
  <c r="K47" i="23"/>
  <c r="K48" i="23" s="1"/>
  <c r="K52" i="23" s="1"/>
  <c r="K53" i="23" s="1"/>
  <c r="K169" i="23"/>
  <c r="K172" i="23" s="1"/>
  <c r="K174" i="23" s="1"/>
  <c r="K176" i="23" s="1"/>
  <c r="K178" i="23" s="1"/>
  <c r="K23" i="20" s="1"/>
  <c r="M125" i="24"/>
  <c r="M126" i="24" s="1"/>
  <c r="M129" i="24" s="1"/>
  <c r="M130" i="24" s="1"/>
  <c r="M125" i="23"/>
  <c r="M126" i="23" s="1"/>
  <c r="M129" i="23" s="1"/>
  <c r="M130" i="23" s="1"/>
  <c r="M14" i="23"/>
  <c r="M15" i="23" s="1"/>
  <c r="M23" i="23" s="1"/>
  <c r="M24" i="23" s="1"/>
  <c r="M14" i="24"/>
  <c r="M15" i="24" s="1"/>
  <c r="M23" i="24" s="1"/>
  <c r="M24" i="24" s="1"/>
  <c r="M14" i="21"/>
  <c r="M15" i="21" s="1"/>
  <c r="M23" i="21" s="1"/>
  <c r="M24" i="21" s="1"/>
  <c r="M125" i="21"/>
  <c r="M126" i="21" s="1"/>
  <c r="M129" i="21" s="1"/>
  <c r="M130" i="21" s="1"/>
  <c r="M14" i="22"/>
  <c r="M15" i="22" s="1"/>
  <c r="M23" i="22" s="1"/>
  <c r="M24" i="22" s="1"/>
  <c r="M125" i="22"/>
  <c r="M126" i="22" s="1"/>
  <c r="M129" i="22" s="1"/>
  <c r="M130" i="22" s="1"/>
  <c r="L79" i="23"/>
  <c r="L80" i="23" s="1"/>
  <c r="L86" i="23"/>
  <c r="L91" i="23" s="1"/>
  <c r="L93" i="23" s="1"/>
  <c r="L86" i="24"/>
  <c r="L91" i="24" s="1"/>
  <c r="L93" i="24" s="1"/>
  <c r="L79" i="24"/>
  <c r="L80" i="24" s="1"/>
  <c r="K198" i="21"/>
  <c r="K156" i="21"/>
  <c r="K157" i="21" s="1"/>
  <c r="K183" i="21"/>
  <c r="K190" i="21" s="1"/>
  <c r="K114" i="12"/>
  <c r="K156" i="12"/>
  <c r="K157" i="12" s="1"/>
  <c r="K183" i="12"/>
  <c r="K190" i="12" s="1"/>
  <c r="K200" i="12" s="1"/>
  <c r="M74" i="12"/>
  <c r="M75" i="12" s="1"/>
  <c r="M86" i="12" s="1"/>
  <c r="M91" i="12" s="1"/>
  <c r="L98" i="12"/>
  <c r="L99" i="12" s="1"/>
  <c r="L107" i="12" s="1"/>
  <c r="L186" i="12" s="1"/>
  <c r="L193" i="12" s="1"/>
  <c r="L201" i="12" s="1"/>
  <c r="L170" i="12"/>
  <c r="L173" i="12" s="1"/>
  <c r="L22" i="12"/>
  <c r="L24" i="12" s="1"/>
  <c r="L28" i="12" s="1"/>
  <c r="L29" i="12" s="1"/>
  <c r="L106" i="12"/>
  <c r="L87" i="12"/>
  <c r="M14" i="12"/>
  <c r="M15" i="12" s="1"/>
  <c r="M23" i="12" s="1"/>
  <c r="M24" i="12" s="1"/>
  <c r="M125" i="12"/>
  <c r="M126" i="12" s="1"/>
  <c r="M129" i="12" s="1"/>
  <c r="M130" i="12" s="1"/>
  <c r="L133" i="12"/>
  <c r="L128" i="12"/>
  <c r="L130" i="12" s="1"/>
  <c r="L145" i="12"/>
  <c r="P57" i="16"/>
  <c r="P60" i="16" s="1"/>
  <c r="P63" i="16" s="1"/>
  <c r="N69" i="16"/>
  <c r="N71" i="16" s="1"/>
  <c r="Q30" i="16"/>
  <c r="L170" i="22" l="1"/>
  <c r="L173" i="22" s="1"/>
  <c r="L98" i="22"/>
  <c r="L99" i="22" s="1"/>
  <c r="L107" i="22" s="1"/>
  <c r="L186" i="22" s="1"/>
  <c r="L193" i="22" s="1"/>
  <c r="L201" i="22" s="1"/>
  <c r="L106" i="23"/>
  <c r="L87" i="23"/>
  <c r="L87" i="21"/>
  <c r="L106" i="21"/>
  <c r="M141" i="24"/>
  <c r="M134" i="24"/>
  <c r="M135" i="24" s="1"/>
  <c r="M146" i="24"/>
  <c r="K201" i="24"/>
  <c r="N85" i="24"/>
  <c r="M102" i="24"/>
  <c r="M103" i="24" s="1"/>
  <c r="M92" i="24"/>
  <c r="M93" i="24" s="1"/>
  <c r="L98" i="21"/>
  <c r="L99" i="21" s="1"/>
  <c r="L107" i="21" s="1"/>
  <c r="L186" i="21" s="1"/>
  <c r="L193" i="21" s="1"/>
  <c r="L201" i="21" s="1"/>
  <c r="L170" i="21"/>
  <c r="L173" i="21" s="1"/>
  <c r="M141" i="22"/>
  <c r="M134" i="22"/>
  <c r="M146" i="22"/>
  <c r="K200" i="23"/>
  <c r="K61" i="24"/>
  <c r="K114" i="24" s="1"/>
  <c r="L134" i="24"/>
  <c r="L135" i="24" s="1"/>
  <c r="L141" i="24"/>
  <c r="L146" i="24"/>
  <c r="L148" i="24" s="1"/>
  <c r="L152" i="24" s="1"/>
  <c r="L153" i="24" s="1"/>
  <c r="L98" i="23"/>
  <c r="L99" i="23" s="1"/>
  <c r="L107" i="23" s="1"/>
  <c r="L186" i="23" s="1"/>
  <c r="L193" i="23" s="1"/>
  <c r="L201" i="23" s="1"/>
  <c r="L170" i="23"/>
  <c r="L173" i="23" s="1"/>
  <c r="K214" i="21"/>
  <c r="K216" i="21" s="1"/>
  <c r="K9" i="20" s="1"/>
  <c r="M35" i="22"/>
  <c r="M28" i="22"/>
  <c r="M40" i="22"/>
  <c r="K61" i="23"/>
  <c r="K114" i="23" s="1"/>
  <c r="K200" i="24"/>
  <c r="K184" i="23"/>
  <c r="K191" i="23" s="1"/>
  <c r="K159" i="23"/>
  <c r="K159" i="22"/>
  <c r="K184" i="22"/>
  <c r="K191" i="22" s="1"/>
  <c r="M146" i="23"/>
  <c r="M141" i="23"/>
  <c r="M134" i="23"/>
  <c r="L40" i="22"/>
  <c r="L42" i="22" s="1"/>
  <c r="L35" i="22"/>
  <c r="L28" i="22"/>
  <c r="L29" i="22" s="1"/>
  <c r="L87" i="24"/>
  <c r="L106" i="24"/>
  <c r="M134" i="21"/>
  <c r="M146" i="21"/>
  <c r="M141" i="21"/>
  <c r="L106" i="22"/>
  <c r="L87" i="22"/>
  <c r="K115" i="23"/>
  <c r="K187" i="23"/>
  <c r="K194" i="23" s="1"/>
  <c r="K160" i="23"/>
  <c r="K184" i="24"/>
  <c r="K191" i="24" s="1"/>
  <c r="K159" i="24"/>
  <c r="K214" i="24"/>
  <c r="K216" i="24" s="1"/>
  <c r="K29" i="20" s="1"/>
  <c r="K200" i="22"/>
  <c r="K187" i="24"/>
  <c r="K194" i="24" s="1"/>
  <c r="K160" i="24"/>
  <c r="K115" i="24"/>
  <c r="L170" i="24"/>
  <c r="L173" i="24" s="1"/>
  <c r="L98" i="24"/>
  <c r="L99" i="24" s="1"/>
  <c r="L107" i="24" s="1"/>
  <c r="L186" i="24" s="1"/>
  <c r="L193" i="24" s="1"/>
  <c r="L201" i="24" s="1"/>
  <c r="M40" i="21"/>
  <c r="M35" i="21"/>
  <c r="M28" i="21"/>
  <c r="K201" i="23"/>
  <c r="K115" i="21"/>
  <c r="K160" i="21"/>
  <c r="K187" i="21"/>
  <c r="K194" i="21" s="1"/>
  <c r="K61" i="22"/>
  <c r="K114" i="22" s="1"/>
  <c r="L39" i="24"/>
  <c r="K184" i="21"/>
  <c r="K191" i="21" s="1"/>
  <c r="K159" i="21"/>
  <c r="M185" i="24"/>
  <c r="M192" i="24" s="1"/>
  <c r="M197" i="24" s="1"/>
  <c r="N14" i="24"/>
  <c r="N15" i="24" s="1"/>
  <c r="N23" i="24" s="1"/>
  <c r="N125" i="24"/>
  <c r="N126" i="24" s="1"/>
  <c r="N129" i="24" s="1"/>
  <c r="N14" i="22"/>
  <c r="N15" i="22" s="1"/>
  <c r="N23" i="22" s="1"/>
  <c r="N14" i="23"/>
  <c r="N15" i="23" s="1"/>
  <c r="N23" i="23" s="1"/>
  <c r="N125" i="23"/>
  <c r="N126" i="23" s="1"/>
  <c r="N129" i="23" s="1"/>
  <c r="N125" i="22"/>
  <c r="N126" i="22" s="1"/>
  <c r="N129" i="22" s="1"/>
  <c r="N125" i="21"/>
  <c r="N126" i="21" s="1"/>
  <c r="N129" i="21" s="1"/>
  <c r="N14" i="21"/>
  <c r="N15" i="21" s="1"/>
  <c r="N23" i="21" s="1"/>
  <c r="M28" i="24"/>
  <c r="M29" i="24" s="1"/>
  <c r="M40" i="24"/>
  <c r="M35" i="24"/>
  <c r="K201" i="21"/>
  <c r="L39" i="21"/>
  <c r="K61" i="21"/>
  <c r="K114" i="21" s="1"/>
  <c r="K160" i="22"/>
  <c r="K115" i="22"/>
  <c r="K187" i="22"/>
  <c r="K194" i="22" s="1"/>
  <c r="L35" i="24"/>
  <c r="L28" i="24"/>
  <c r="L29" i="24" s="1"/>
  <c r="L40" i="24"/>
  <c r="L39" i="23"/>
  <c r="K200" i="21"/>
  <c r="M40" i="23"/>
  <c r="M35" i="23"/>
  <c r="M28" i="23"/>
  <c r="L146" i="21"/>
  <c r="L148" i="21" s="1"/>
  <c r="L152" i="21" s="1"/>
  <c r="L153" i="21" s="1"/>
  <c r="L134" i="21"/>
  <c r="L135" i="21" s="1"/>
  <c r="L141" i="21"/>
  <c r="L146" i="22"/>
  <c r="L148" i="22" s="1"/>
  <c r="L152" i="22" s="1"/>
  <c r="L153" i="22" s="1"/>
  <c r="L141" i="22"/>
  <c r="L134" i="22"/>
  <c r="L135" i="22" s="1"/>
  <c r="L40" i="23"/>
  <c r="L35" i="23"/>
  <c r="L28" i="23"/>
  <c r="L29" i="23" s="1"/>
  <c r="L141" i="23"/>
  <c r="L134" i="23"/>
  <c r="L135" i="23" s="1"/>
  <c r="L146" i="23"/>
  <c r="L148" i="23" s="1"/>
  <c r="L152" i="23" s="1"/>
  <c r="L153" i="23" s="1"/>
  <c r="L40" i="21"/>
  <c r="L35" i="21"/>
  <c r="L28" i="21"/>
  <c r="L29" i="21" s="1"/>
  <c r="K201" i="22"/>
  <c r="M79" i="12"/>
  <c r="N69" i="12"/>
  <c r="N70" i="12" s="1"/>
  <c r="L108" i="12"/>
  <c r="L187" i="12" s="1"/>
  <c r="L194" i="12" s="1"/>
  <c r="L185" i="12"/>
  <c r="L192" i="12" s="1"/>
  <c r="L197" i="12" s="1"/>
  <c r="K159" i="12"/>
  <c r="K161" i="12" s="1"/>
  <c r="K163" i="12" s="1"/>
  <c r="K165" i="12" s="1"/>
  <c r="K184" i="12"/>
  <c r="K191" i="12" s="1"/>
  <c r="K202" i="12" s="1"/>
  <c r="L40" i="12"/>
  <c r="L42" i="12" s="1"/>
  <c r="L35" i="12"/>
  <c r="N14" i="12"/>
  <c r="N15" i="12" s="1"/>
  <c r="N125" i="12"/>
  <c r="N126" i="12" s="1"/>
  <c r="N129" i="12" s="1"/>
  <c r="L141" i="12"/>
  <c r="L134" i="12"/>
  <c r="L135" i="12" s="1"/>
  <c r="L182" i="12" s="1"/>
  <c r="L146" i="12"/>
  <c r="L148" i="12" s="1"/>
  <c r="L152" i="12" s="1"/>
  <c r="L153" i="12" s="1"/>
  <c r="M134" i="12"/>
  <c r="M141" i="12"/>
  <c r="M146" i="12"/>
  <c r="L51" i="12"/>
  <c r="L36" i="12"/>
  <c r="M40" i="12"/>
  <c r="M35" i="12"/>
  <c r="M28" i="12"/>
  <c r="P65" i="16"/>
  <c r="P67" i="16" s="1"/>
  <c r="O65" i="16"/>
  <c r="O67" i="16" s="1"/>
  <c r="O131" i="16"/>
  <c r="O133" i="16" s="1"/>
  <c r="O135" i="16" s="1"/>
  <c r="Q55" i="16"/>
  <c r="Q53" i="16"/>
  <c r="Q56" i="16" s="1"/>
  <c r="K202" i="23" l="1"/>
  <c r="K161" i="22"/>
  <c r="K163" i="22" s="1"/>
  <c r="K165" i="22" s="1"/>
  <c r="K202" i="22"/>
  <c r="K219" i="22" s="1"/>
  <c r="K221" i="22" s="1"/>
  <c r="K20" i="20" s="1"/>
  <c r="K202" i="21"/>
  <c r="K219" i="21" s="1"/>
  <c r="K221" i="21" s="1"/>
  <c r="K10" i="20" s="1"/>
  <c r="K161" i="24"/>
  <c r="K163" i="24" s="1"/>
  <c r="K165" i="24" s="1"/>
  <c r="K161" i="21"/>
  <c r="K163" i="21" s="1"/>
  <c r="K165" i="21" s="1"/>
  <c r="L47" i="22"/>
  <c r="L48" i="22" s="1"/>
  <c r="L52" i="22" s="1"/>
  <c r="L169" i="22"/>
  <c r="L172" i="22" s="1"/>
  <c r="L174" i="22" s="1"/>
  <c r="L176" i="22" s="1"/>
  <c r="L178" i="22" s="1"/>
  <c r="L18" i="20" s="1"/>
  <c r="L155" i="22"/>
  <c r="L182" i="22"/>
  <c r="L189" i="22" s="1"/>
  <c r="L142" i="22"/>
  <c r="L156" i="24"/>
  <c r="L183" i="24"/>
  <c r="L190" i="24" s="1"/>
  <c r="L36" i="21"/>
  <c r="L51" i="21"/>
  <c r="L51" i="24"/>
  <c r="L36" i="24"/>
  <c r="L182" i="24"/>
  <c r="L189" i="24" s="1"/>
  <c r="L155" i="24"/>
  <c r="L142" i="24"/>
  <c r="L182" i="23"/>
  <c r="L189" i="23" s="1"/>
  <c r="L142" i="23"/>
  <c r="L155" i="23"/>
  <c r="L51" i="22"/>
  <c r="L36" i="22"/>
  <c r="O69" i="23"/>
  <c r="O70" i="23" s="1"/>
  <c r="O74" i="23" s="1"/>
  <c r="O69" i="24"/>
  <c r="O70" i="24" s="1"/>
  <c r="O74" i="24" s="1"/>
  <c r="O69" i="22"/>
  <c r="O70" i="22" s="1"/>
  <c r="O74" i="22" s="1"/>
  <c r="O69" i="21"/>
  <c r="O70" i="21" s="1"/>
  <c r="O74" i="21" s="1"/>
  <c r="L42" i="23"/>
  <c r="L42" i="24"/>
  <c r="L185" i="21"/>
  <c r="L192" i="21" s="1"/>
  <c r="L108" i="21"/>
  <c r="L183" i="22"/>
  <c r="L190" i="22" s="1"/>
  <c r="L156" i="22"/>
  <c r="L51" i="23"/>
  <c r="L36" i="23"/>
  <c r="L185" i="22"/>
  <c r="L192" i="22" s="1"/>
  <c r="L108" i="22"/>
  <c r="K204" i="22"/>
  <c r="K205" i="22"/>
  <c r="L183" i="23"/>
  <c r="L190" i="23" s="1"/>
  <c r="L156" i="23"/>
  <c r="M51" i="24"/>
  <c r="M36" i="24"/>
  <c r="M37" i="24" s="1"/>
  <c r="K219" i="23"/>
  <c r="K221" i="23" s="1"/>
  <c r="K25" i="20" s="1"/>
  <c r="K205" i="23"/>
  <c r="N90" i="24"/>
  <c r="N78" i="24"/>
  <c r="N73" i="24"/>
  <c r="N75" i="24" s="1"/>
  <c r="K204" i="21"/>
  <c r="L42" i="21"/>
  <c r="K205" i="24"/>
  <c r="K204" i="24"/>
  <c r="L185" i="23"/>
  <c r="L192" i="23" s="1"/>
  <c r="L108" i="23"/>
  <c r="L182" i="21"/>
  <c r="L189" i="21" s="1"/>
  <c r="L142" i="21"/>
  <c r="L155" i="21"/>
  <c r="M98" i="24"/>
  <c r="M99" i="24" s="1"/>
  <c r="M107" i="24" s="1"/>
  <c r="M170" i="24"/>
  <c r="M173" i="24" s="1"/>
  <c r="K202" i="24"/>
  <c r="M155" i="24"/>
  <c r="M182" i="24"/>
  <c r="M189" i="24" s="1"/>
  <c r="M196" i="24" s="1"/>
  <c r="M198" i="24" s="1"/>
  <c r="M214" i="24" s="1"/>
  <c r="M216" i="24" s="1"/>
  <c r="M29" i="20" s="1"/>
  <c r="M142" i="24"/>
  <c r="M143" i="24" s="1"/>
  <c r="L183" i="21"/>
  <c r="L190" i="21" s="1"/>
  <c r="L156" i="21"/>
  <c r="K205" i="21"/>
  <c r="K161" i="23"/>
  <c r="L185" i="24"/>
  <c r="L192" i="24" s="1"/>
  <c r="L108" i="24"/>
  <c r="K204" i="23"/>
  <c r="K219" i="12"/>
  <c r="K221" i="12" s="1"/>
  <c r="K15" i="20" s="1"/>
  <c r="L156" i="12"/>
  <c r="L183" i="12"/>
  <c r="N74" i="12"/>
  <c r="L47" i="12"/>
  <c r="L48" i="12" s="1"/>
  <c r="L52" i="12" s="1"/>
  <c r="L53" i="12" s="1"/>
  <c r="L61" i="12" s="1"/>
  <c r="L169" i="12"/>
  <c r="L172" i="12" s="1"/>
  <c r="L174" i="12" s="1"/>
  <c r="L176" i="12" s="1"/>
  <c r="L115" i="12"/>
  <c r="K204" i="12"/>
  <c r="K206" i="12" s="1"/>
  <c r="K198" i="12"/>
  <c r="L160" i="12"/>
  <c r="L205" i="12"/>
  <c r="N23" i="12"/>
  <c r="L142" i="12"/>
  <c r="L155" i="12"/>
  <c r="O69" i="16"/>
  <c r="O71" i="16" s="1"/>
  <c r="P69" i="16"/>
  <c r="P71" i="16" s="1"/>
  <c r="Q57" i="16"/>
  <c r="R30" i="16"/>
  <c r="L53" i="22" l="1"/>
  <c r="L61" i="22" s="1"/>
  <c r="L114" i="22" s="1"/>
  <c r="L157" i="24"/>
  <c r="L159" i="24" s="1"/>
  <c r="K206" i="21"/>
  <c r="K206" i="22"/>
  <c r="L157" i="21"/>
  <c r="L184" i="21" s="1"/>
  <c r="L191" i="21" s="1"/>
  <c r="L197" i="23"/>
  <c r="K163" i="23"/>
  <c r="K165" i="23" s="1"/>
  <c r="L196" i="23"/>
  <c r="L200" i="24"/>
  <c r="L202" i="24" s="1"/>
  <c r="L219" i="24" s="1"/>
  <c r="L221" i="24" s="1"/>
  <c r="L30" i="20" s="1"/>
  <c r="L169" i="21"/>
  <c r="L172" i="21" s="1"/>
  <c r="L174" i="21" s="1"/>
  <c r="L176" i="21" s="1"/>
  <c r="L178" i="21" s="1"/>
  <c r="L8" i="20" s="1"/>
  <c r="L47" i="21"/>
  <c r="L48" i="21" s="1"/>
  <c r="L52" i="21" s="1"/>
  <c r="L53" i="21" s="1"/>
  <c r="K206" i="23"/>
  <c r="L200" i="23"/>
  <c r="L202" i="23" s="1"/>
  <c r="M147" i="24"/>
  <c r="M148" i="24" s="1"/>
  <c r="M152" i="24" s="1"/>
  <c r="M153" i="24" s="1"/>
  <c r="N140" i="24"/>
  <c r="L200" i="22"/>
  <c r="L202" i="22" s="1"/>
  <c r="L115" i="21"/>
  <c r="L160" i="21"/>
  <c r="L187" i="21"/>
  <c r="L194" i="21" s="1"/>
  <c r="L169" i="24"/>
  <c r="L172" i="24" s="1"/>
  <c r="L174" i="24" s="1"/>
  <c r="L176" i="24" s="1"/>
  <c r="L178" i="24" s="1"/>
  <c r="L28" i="20" s="1"/>
  <c r="L47" i="24"/>
  <c r="L48" i="24" s="1"/>
  <c r="L52" i="24" s="1"/>
  <c r="L53" i="24" s="1"/>
  <c r="L196" i="24"/>
  <c r="L196" i="22"/>
  <c r="M186" i="24"/>
  <c r="M193" i="24" s="1"/>
  <c r="M108" i="24"/>
  <c r="L196" i="21"/>
  <c r="L160" i="22"/>
  <c r="L187" i="22"/>
  <c r="L194" i="22" s="1"/>
  <c r="L115" i="22"/>
  <c r="L197" i="21"/>
  <c r="L157" i="22"/>
  <c r="K219" i="24"/>
  <c r="K221" i="24" s="1"/>
  <c r="K30" i="20" s="1"/>
  <c r="P125" i="24"/>
  <c r="P126" i="24" s="1"/>
  <c r="P129" i="24" s="1"/>
  <c r="P125" i="23"/>
  <c r="P126" i="23" s="1"/>
  <c r="P129" i="23" s="1"/>
  <c r="P14" i="24"/>
  <c r="P15" i="24" s="1"/>
  <c r="P23" i="24" s="1"/>
  <c r="P14" i="22"/>
  <c r="P15" i="22" s="1"/>
  <c r="P23" i="22" s="1"/>
  <c r="P14" i="23"/>
  <c r="P15" i="23" s="1"/>
  <c r="P23" i="23" s="1"/>
  <c r="P125" i="22"/>
  <c r="P126" i="22" s="1"/>
  <c r="P129" i="22" s="1"/>
  <c r="P125" i="21"/>
  <c r="P126" i="21" s="1"/>
  <c r="P129" i="21" s="1"/>
  <c r="P14" i="21"/>
  <c r="P15" i="21" s="1"/>
  <c r="P23" i="21" s="1"/>
  <c r="N79" i="24"/>
  <c r="N80" i="24" s="1"/>
  <c r="N86" i="24"/>
  <c r="N91" i="24" s="1"/>
  <c r="N34" i="24"/>
  <c r="M41" i="24"/>
  <c r="M42" i="24" s="1"/>
  <c r="L197" i="22"/>
  <c r="L197" i="24"/>
  <c r="O14" i="24"/>
  <c r="O15" i="24" s="1"/>
  <c r="O23" i="24" s="1"/>
  <c r="O14" i="22"/>
  <c r="O15" i="22" s="1"/>
  <c r="O23" i="22" s="1"/>
  <c r="O125" i="23"/>
  <c r="O126" i="23" s="1"/>
  <c r="O129" i="23" s="1"/>
  <c r="O14" i="23"/>
  <c r="O15" i="23" s="1"/>
  <c r="O23" i="23" s="1"/>
  <c r="O125" i="21"/>
  <c r="O126" i="21" s="1"/>
  <c r="O129" i="21" s="1"/>
  <c r="O125" i="22"/>
  <c r="O126" i="22" s="1"/>
  <c r="O129" i="22" s="1"/>
  <c r="O125" i="24"/>
  <c r="O126" i="24" s="1"/>
  <c r="O129" i="24" s="1"/>
  <c r="O14" i="21"/>
  <c r="O15" i="21" s="1"/>
  <c r="O23" i="21" s="1"/>
  <c r="L115" i="24"/>
  <c r="L160" i="24"/>
  <c r="L187" i="24"/>
  <c r="L194" i="24" s="1"/>
  <c r="L200" i="21"/>
  <c r="L202" i="21" s="1"/>
  <c r="L160" i="23"/>
  <c r="L187" i="23"/>
  <c r="L194" i="23" s="1"/>
  <c r="L115" i="23"/>
  <c r="K206" i="24"/>
  <c r="L169" i="23"/>
  <c r="L172" i="23" s="1"/>
  <c r="L174" i="23" s="1"/>
  <c r="L176" i="23" s="1"/>
  <c r="L178" i="23" s="1"/>
  <c r="L23" i="20" s="1"/>
  <c r="L47" i="23"/>
  <c r="L48" i="23" s="1"/>
  <c r="L52" i="23" s="1"/>
  <c r="L53" i="23" s="1"/>
  <c r="L157" i="23"/>
  <c r="L178" i="12"/>
  <c r="L13" i="20" s="1"/>
  <c r="K214" i="12"/>
  <c r="K216" i="12" s="1"/>
  <c r="K14" i="20" s="1"/>
  <c r="L190" i="12"/>
  <c r="L200" i="12" s="1"/>
  <c r="O69" i="12"/>
  <c r="O70" i="12" s="1"/>
  <c r="O74" i="12" s="1"/>
  <c r="L157" i="12"/>
  <c r="L184" i="12" s="1"/>
  <c r="L191" i="12" s="1"/>
  <c r="L189" i="12"/>
  <c r="L196" i="12" s="1"/>
  <c r="P14" i="12"/>
  <c r="P15" i="12" s="1"/>
  <c r="P23" i="12" s="1"/>
  <c r="P125" i="12"/>
  <c r="P126" i="12" s="1"/>
  <c r="P129" i="12" s="1"/>
  <c r="O14" i="12"/>
  <c r="O15" i="12" s="1"/>
  <c r="O125" i="12"/>
  <c r="O126" i="12" s="1"/>
  <c r="O129" i="12" s="1"/>
  <c r="R55" i="16"/>
  <c r="Q60" i="16"/>
  <c r="Q63" i="16" s="1"/>
  <c r="R53" i="16"/>
  <c r="R56" i="16" s="1"/>
  <c r="L184" i="24" l="1"/>
  <c r="L191" i="24" s="1"/>
  <c r="L204" i="24" s="1"/>
  <c r="L159" i="21"/>
  <c r="L161" i="21" s="1"/>
  <c r="L161" i="24"/>
  <c r="L163" i="24" s="1"/>
  <c r="L165" i="24" s="1"/>
  <c r="L198" i="22"/>
  <c r="L214" i="22" s="1"/>
  <c r="L216" i="22" s="1"/>
  <c r="L19" i="20" s="1"/>
  <c r="L198" i="24"/>
  <c r="L214" i="24" s="1"/>
  <c r="L216" i="24" s="1"/>
  <c r="L29" i="20" s="1"/>
  <c r="L198" i="21"/>
  <c r="L214" i="21" s="1"/>
  <c r="L216" i="21" s="1"/>
  <c r="L9" i="20" s="1"/>
  <c r="N22" i="24"/>
  <c r="N24" i="24" s="1"/>
  <c r="N27" i="24"/>
  <c r="L61" i="23"/>
  <c r="L114" i="23" s="1"/>
  <c r="L219" i="22"/>
  <c r="L221" i="22" s="1"/>
  <c r="L20" i="20" s="1"/>
  <c r="N133" i="24"/>
  <c r="N128" i="24"/>
  <c r="N130" i="24" s="1"/>
  <c r="N145" i="24"/>
  <c r="L184" i="23"/>
  <c r="L191" i="23" s="1"/>
  <c r="L159" i="23"/>
  <c r="L161" i="23" s="1"/>
  <c r="N106" i="24"/>
  <c r="N87" i="24"/>
  <c r="N88" i="24" s="1"/>
  <c r="M156" i="24"/>
  <c r="M157" i="24" s="1"/>
  <c r="M183" i="24"/>
  <c r="M190" i="24" s="1"/>
  <c r="L219" i="21"/>
  <c r="L221" i="21" s="1"/>
  <c r="L10" i="20" s="1"/>
  <c r="M160" i="24"/>
  <c r="M187" i="24"/>
  <c r="M194" i="24" s="1"/>
  <c r="M205" i="24" s="1"/>
  <c r="M115" i="24"/>
  <c r="L204" i="21"/>
  <c r="L61" i="24"/>
  <c r="L114" i="24" s="1"/>
  <c r="L205" i="24"/>
  <c r="L184" i="22"/>
  <c r="L191" i="22" s="1"/>
  <c r="L159" i="22"/>
  <c r="L161" i="22" s="1"/>
  <c r="M201" i="24"/>
  <c r="L205" i="21"/>
  <c r="L219" i="23"/>
  <c r="L221" i="23" s="1"/>
  <c r="L25" i="20" s="1"/>
  <c r="L205" i="23"/>
  <c r="L205" i="22"/>
  <c r="L198" i="23"/>
  <c r="L61" i="21"/>
  <c r="L114" i="21" s="1"/>
  <c r="M169" i="24"/>
  <c r="M172" i="24" s="1"/>
  <c r="M174" i="24" s="1"/>
  <c r="M176" i="24" s="1"/>
  <c r="M178" i="24" s="1"/>
  <c r="M28" i="20" s="1"/>
  <c r="M47" i="24"/>
  <c r="M48" i="24" s="1"/>
  <c r="M52" i="24" s="1"/>
  <c r="M53" i="24" s="1"/>
  <c r="M61" i="24" s="1"/>
  <c r="M114" i="24" s="1"/>
  <c r="L159" i="12"/>
  <c r="L161" i="12" s="1"/>
  <c r="L163" i="12" s="1"/>
  <c r="L165" i="12" s="1"/>
  <c r="L198" i="12"/>
  <c r="L202" i="12"/>
  <c r="L204" i="12"/>
  <c r="L206" i="12" s="1"/>
  <c r="O23" i="12"/>
  <c r="R57" i="16"/>
  <c r="L163" i="21" l="1"/>
  <c r="L165" i="21" s="1"/>
  <c r="O85" i="24"/>
  <c r="N102" i="24"/>
  <c r="N103" i="24" s="1"/>
  <c r="N92" i="24"/>
  <c r="N93" i="24" s="1"/>
  <c r="L163" i="23"/>
  <c r="L165" i="23" s="1"/>
  <c r="N39" i="24"/>
  <c r="L204" i="22"/>
  <c r="L206" i="22" s="1"/>
  <c r="L206" i="24"/>
  <c r="M116" i="24"/>
  <c r="N35" i="24"/>
  <c r="N28" i="24"/>
  <c r="N29" i="24" s="1"/>
  <c r="N40" i="24"/>
  <c r="N185" i="24"/>
  <c r="N192" i="24" s="1"/>
  <c r="N134" i="24"/>
  <c r="N135" i="24" s="1"/>
  <c r="N146" i="24"/>
  <c r="N141" i="24"/>
  <c r="L163" i="22"/>
  <c r="L165" i="22" s="1"/>
  <c r="L206" i="21"/>
  <c r="M200" i="24"/>
  <c r="M202" i="24" s="1"/>
  <c r="L204" i="23"/>
  <c r="L206" i="23" s="1"/>
  <c r="L214" i="23"/>
  <c r="L216" i="23" s="1"/>
  <c r="L24" i="20" s="1"/>
  <c r="M184" i="24"/>
  <c r="M191" i="24" s="1"/>
  <c r="M159" i="24"/>
  <c r="M161" i="24" s="1"/>
  <c r="L219" i="12"/>
  <c r="L221" i="12" s="1"/>
  <c r="L15" i="20" s="1"/>
  <c r="L214" i="12"/>
  <c r="L216" i="12" s="1"/>
  <c r="L14" i="20" s="1"/>
  <c r="R60" i="16"/>
  <c r="R63" i="16" s="1"/>
  <c r="Q65" i="16"/>
  <c r="Q67" i="16" s="1"/>
  <c r="N51" i="24" l="1"/>
  <c r="N36" i="24"/>
  <c r="N37" i="24" s="1"/>
  <c r="M219" i="24"/>
  <c r="M221" i="24" s="1"/>
  <c r="M30" i="20" s="1"/>
  <c r="M163" i="24"/>
  <c r="N170" i="24"/>
  <c r="N173" i="24" s="1"/>
  <c r="N98" i="24"/>
  <c r="N99" i="24" s="1"/>
  <c r="N107" i="24" s="1"/>
  <c r="O78" i="24"/>
  <c r="O90" i="24"/>
  <c r="O73" i="24"/>
  <c r="O75" i="24" s="1"/>
  <c r="N182" i="24"/>
  <c r="N189" i="24" s="1"/>
  <c r="N142" i="24"/>
  <c r="N143" i="24" s="1"/>
  <c r="N155" i="24"/>
  <c r="M204" i="24"/>
  <c r="M206" i="24" s="1"/>
  <c r="M164" i="24"/>
  <c r="N197" i="24"/>
  <c r="Q69" i="16"/>
  <c r="Q71" i="16" s="1"/>
  <c r="O34" i="24" l="1"/>
  <c r="N41" i="24"/>
  <c r="N42" i="24" s="1"/>
  <c r="O140" i="24"/>
  <c r="N147" i="24"/>
  <c r="N148" i="24" s="1"/>
  <c r="N152" i="24" s="1"/>
  <c r="N153" i="24" s="1"/>
  <c r="O79" i="24"/>
  <c r="O80" i="24" s="1"/>
  <c r="O86" i="24"/>
  <c r="O91" i="24" s="1"/>
  <c r="N196" i="24"/>
  <c r="N198" i="24" s="1"/>
  <c r="Q125" i="24"/>
  <c r="Q126" i="24" s="1"/>
  <c r="Q129" i="24" s="1"/>
  <c r="Q125" i="23"/>
  <c r="Q126" i="23" s="1"/>
  <c r="Q129" i="23" s="1"/>
  <c r="Q14" i="23"/>
  <c r="Q15" i="23" s="1"/>
  <c r="Q23" i="23" s="1"/>
  <c r="Q125" i="22"/>
  <c r="Q126" i="22" s="1"/>
  <c r="Q129" i="22" s="1"/>
  <c r="Q125" i="21"/>
  <c r="Q126" i="21" s="1"/>
  <c r="Q129" i="21" s="1"/>
  <c r="Q14" i="21"/>
  <c r="Q15" i="21" s="1"/>
  <c r="Q23" i="21" s="1"/>
  <c r="Q14" i="24"/>
  <c r="Q15" i="24" s="1"/>
  <c r="Q23" i="24" s="1"/>
  <c r="Q14" i="22"/>
  <c r="Q15" i="22" s="1"/>
  <c r="Q23" i="22" s="1"/>
  <c r="N186" i="24"/>
  <c r="N193" i="24" s="1"/>
  <c r="N108" i="24"/>
  <c r="M165" i="24"/>
  <c r="M166" i="24"/>
  <c r="Q14" i="12"/>
  <c r="Q15" i="12" s="1"/>
  <c r="Q125" i="12"/>
  <c r="Q126" i="12" s="1"/>
  <c r="Q129" i="12" s="1"/>
  <c r="L114" i="12"/>
  <c r="R65" i="16"/>
  <c r="R67" i="16" s="1"/>
  <c r="N214" i="24" l="1"/>
  <c r="N216" i="24" s="1"/>
  <c r="N29" i="20" s="1"/>
  <c r="N115" i="24"/>
  <c r="N160" i="24"/>
  <c r="N187" i="24"/>
  <c r="N194" i="24" s="1"/>
  <c r="O106" i="24"/>
  <c r="O87" i="24"/>
  <c r="O88" i="24" s="1"/>
  <c r="N47" i="24"/>
  <c r="N48" i="24" s="1"/>
  <c r="N52" i="24" s="1"/>
  <c r="N53" i="24" s="1"/>
  <c r="N169" i="24"/>
  <c r="N172" i="24" s="1"/>
  <c r="N174" i="24" s="1"/>
  <c r="N176" i="24" s="1"/>
  <c r="N178" i="24" s="1"/>
  <c r="N28" i="20" s="1"/>
  <c r="N201" i="24"/>
  <c r="N183" i="24"/>
  <c r="N190" i="24" s="1"/>
  <c r="N156" i="24"/>
  <c r="N157" i="24" s="1"/>
  <c r="O27" i="24"/>
  <c r="O22" i="24"/>
  <c r="O24" i="24" s="1"/>
  <c r="O128" i="24"/>
  <c r="O130" i="24" s="1"/>
  <c r="O145" i="24"/>
  <c r="O133" i="24"/>
  <c r="Q23" i="12"/>
  <c r="R69" i="16"/>
  <c r="R71" i="16" s="1"/>
  <c r="O92" i="24" l="1"/>
  <c r="O93" i="24" s="1"/>
  <c r="O102" i="24"/>
  <c r="O103" i="24" s="1"/>
  <c r="P85" i="24"/>
  <c r="N205" i="24"/>
  <c r="O40" i="24"/>
  <c r="O35" i="24"/>
  <c r="O28" i="24"/>
  <c r="O29" i="24" s="1"/>
  <c r="N61" i="24"/>
  <c r="N114" i="24" s="1"/>
  <c r="N116" i="24" s="1"/>
  <c r="O185" i="24"/>
  <c r="O192" i="24" s="1"/>
  <c r="O39" i="24"/>
  <c r="O134" i="24"/>
  <c r="O135" i="24" s="1"/>
  <c r="O146" i="24"/>
  <c r="O141" i="24"/>
  <c r="N184" i="24"/>
  <c r="N191" i="24" s="1"/>
  <c r="N159" i="24"/>
  <c r="N161" i="24" s="1"/>
  <c r="N200" i="24"/>
  <c r="N202" i="24" s="1"/>
  <c r="R125" i="24"/>
  <c r="R126" i="24" s="1"/>
  <c r="R129" i="24" s="1"/>
  <c r="R125" i="23"/>
  <c r="R126" i="23" s="1"/>
  <c r="R129" i="23" s="1"/>
  <c r="R14" i="24"/>
  <c r="R15" i="24" s="1"/>
  <c r="R23" i="24" s="1"/>
  <c r="R14" i="22"/>
  <c r="R15" i="22" s="1"/>
  <c r="R23" i="22" s="1"/>
  <c r="R14" i="23"/>
  <c r="R15" i="23" s="1"/>
  <c r="R23" i="23" s="1"/>
  <c r="R125" i="22"/>
  <c r="R126" i="22" s="1"/>
  <c r="R129" i="22" s="1"/>
  <c r="R14" i="21"/>
  <c r="R15" i="21" s="1"/>
  <c r="R23" i="21" s="1"/>
  <c r="R125" i="21"/>
  <c r="R126" i="21" s="1"/>
  <c r="R129" i="21" s="1"/>
  <c r="R14" i="12"/>
  <c r="R15" i="12" s="1"/>
  <c r="R23" i="12" s="1"/>
  <c r="R125" i="12"/>
  <c r="R126" i="12" s="1"/>
  <c r="R129" i="12" s="1"/>
  <c r="N163" i="24" l="1"/>
  <c r="N219" i="24"/>
  <c r="N221" i="24" s="1"/>
  <c r="N30" i="20" s="1"/>
  <c r="O51" i="24"/>
  <c r="O36" i="24"/>
  <c r="O37" i="24" s="1"/>
  <c r="O170" i="24"/>
  <c r="O173" i="24" s="1"/>
  <c r="O98" i="24"/>
  <c r="O99" i="24" s="1"/>
  <c r="O107" i="24" s="1"/>
  <c r="O197" i="24"/>
  <c r="O182" i="24"/>
  <c r="O189" i="24" s="1"/>
  <c r="O142" i="24"/>
  <c r="O143" i="24" s="1"/>
  <c r="O155" i="24"/>
  <c r="N164" i="24"/>
  <c r="P90" i="24"/>
  <c r="P78" i="24"/>
  <c r="P73" i="24"/>
  <c r="N204" i="24"/>
  <c r="N206" i="24" s="1"/>
  <c r="N165" i="24" l="1"/>
  <c r="P140" i="24"/>
  <c r="O147" i="24"/>
  <c r="O148" i="24" s="1"/>
  <c r="O152" i="24" s="1"/>
  <c r="O153" i="24" s="1"/>
  <c r="O196" i="24"/>
  <c r="O198" i="24" s="1"/>
  <c r="P34" i="24"/>
  <c r="O41" i="24"/>
  <c r="O42" i="24" s="1"/>
  <c r="O186" i="24"/>
  <c r="O193" i="24" s="1"/>
  <c r="O201" i="24" s="1"/>
  <c r="O108" i="24"/>
  <c r="N166" i="24"/>
  <c r="O187" i="24" l="1"/>
  <c r="O194" i="24" s="1"/>
  <c r="O115" i="24"/>
  <c r="O160" i="24"/>
  <c r="O169" i="24"/>
  <c r="O172" i="24" s="1"/>
  <c r="O174" i="24" s="1"/>
  <c r="O176" i="24" s="1"/>
  <c r="O178" i="24" s="1"/>
  <c r="O28" i="20" s="1"/>
  <c r="O47" i="24"/>
  <c r="O48" i="24" s="1"/>
  <c r="O52" i="24" s="1"/>
  <c r="O53" i="24" s="1"/>
  <c r="O61" i="24" s="1"/>
  <c r="O114" i="24" s="1"/>
  <c r="P27" i="24"/>
  <c r="P22" i="24"/>
  <c r="P24" i="24" s="1"/>
  <c r="O214" i="24"/>
  <c r="O216" i="24" s="1"/>
  <c r="O29" i="20" s="1"/>
  <c r="O183" i="24"/>
  <c r="O190" i="24" s="1"/>
  <c r="O200" i="24" s="1"/>
  <c r="O202" i="24" s="1"/>
  <c r="O156" i="24"/>
  <c r="O157" i="24" s="1"/>
  <c r="P133" i="24"/>
  <c r="P145" i="24"/>
  <c r="P128" i="24"/>
  <c r="P130" i="24" s="1"/>
  <c r="O219" i="24" l="1"/>
  <c r="O221" i="24" s="1"/>
  <c r="O30" i="20" s="1"/>
  <c r="O184" i="24"/>
  <c r="O191" i="24" s="1"/>
  <c r="O204" i="24" s="1"/>
  <c r="O159" i="24"/>
  <c r="O161" i="24" s="1"/>
  <c r="O163" i="24" s="1"/>
  <c r="P35" i="24"/>
  <c r="P28" i="24"/>
  <c r="P29" i="24" s="1"/>
  <c r="P40" i="24"/>
  <c r="P39" i="24"/>
  <c r="P141" i="24"/>
  <c r="P134" i="24"/>
  <c r="P135" i="24" s="1"/>
  <c r="P146" i="24"/>
  <c r="O116" i="24"/>
  <c r="O205" i="24"/>
  <c r="O206" i="24" l="1"/>
  <c r="P155" i="24"/>
  <c r="P142" i="24"/>
  <c r="P143" i="24" s="1"/>
  <c r="P182" i="24"/>
  <c r="P189" i="24" s="1"/>
  <c r="P196" i="24" s="1"/>
  <c r="O164" i="24"/>
  <c r="O165" i="24" s="1"/>
  <c r="P51" i="24"/>
  <c r="P36" i="24"/>
  <c r="P37" i="24" s="1"/>
  <c r="O166" i="24" l="1"/>
  <c r="P41" i="24"/>
  <c r="P42" i="24" s="1"/>
  <c r="Q34" i="24"/>
  <c r="P147" i="24"/>
  <c r="P148" i="24" s="1"/>
  <c r="P152" i="24" s="1"/>
  <c r="P153" i="24" s="1"/>
  <c r="Q140" i="24"/>
  <c r="Q145" i="24" l="1"/>
  <c r="Q133" i="24"/>
  <c r="Q128" i="24"/>
  <c r="Q130" i="24" s="1"/>
  <c r="Q22" i="24"/>
  <c r="Q24" i="24" s="1"/>
  <c r="Q27" i="24"/>
  <c r="P183" i="24"/>
  <c r="P190" i="24" s="1"/>
  <c r="P200" i="24" s="1"/>
  <c r="P156" i="24"/>
  <c r="P157" i="24" s="1"/>
  <c r="P169" i="24"/>
  <c r="P172" i="24" s="1"/>
  <c r="P47" i="24"/>
  <c r="P48" i="24" s="1"/>
  <c r="P52" i="24" s="1"/>
  <c r="P53" i="24" s="1"/>
  <c r="P61" i="24" s="1"/>
  <c r="P114" i="24" s="1"/>
  <c r="Q39" i="24" l="1"/>
  <c r="Q40" i="24"/>
  <c r="Q35" i="24"/>
  <c r="Q28" i="24"/>
  <c r="Q29" i="24" s="1"/>
  <c r="Q146" i="24"/>
  <c r="Q141" i="24"/>
  <c r="Q134" i="24"/>
  <c r="Q135" i="24" s="1"/>
  <c r="P184" i="24"/>
  <c r="P191" i="24" s="1"/>
  <c r="P204" i="24" s="1"/>
  <c r="P159" i="24"/>
  <c r="Q51" i="24" l="1"/>
  <c r="Q36" i="24"/>
  <c r="Q37" i="24" s="1"/>
  <c r="Q182" i="24"/>
  <c r="Q189" i="24" s="1"/>
  <c r="Q196" i="24" s="1"/>
  <c r="Q142" i="24"/>
  <c r="Q143" i="24" s="1"/>
  <c r="Q155" i="24"/>
  <c r="R34" i="24" l="1"/>
  <c r="Q41" i="24"/>
  <c r="Q42" i="24" s="1"/>
  <c r="R140" i="24"/>
  <c r="Q147" i="24"/>
  <c r="Q148" i="24" s="1"/>
  <c r="Q152" i="24" s="1"/>
  <c r="Q153" i="24" s="1"/>
  <c r="Q183" i="24" l="1"/>
  <c r="Q190" i="24" s="1"/>
  <c r="Q200" i="24" s="1"/>
  <c r="Q156" i="24"/>
  <c r="Q157" i="24" s="1"/>
  <c r="R145" i="24"/>
  <c r="R133" i="24"/>
  <c r="R128" i="24"/>
  <c r="R130" i="24" s="1"/>
  <c r="Q169" i="24"/>
  <c r="Q172" i="24" s="1"/>
  <c r="Q47" i="24"/>
  <c r="Q48" i="24" s="1"/>
  <c r="Q52" i="24" s="1"/>
  <c r="Q53" i="24" s="1"/>
  <c r="Q61" i="24" s="1"/>
  <c r="Q114" i="24" s="1"/>
  <c r="R27" i="24"/>
  <c r="R39" i="24" s="1"/>
  <c r="R22" i="24"/>
  <c r="R24" i="24" s="1"/>
  <c r="Q184" i="24" l="1"/>
  <c r="Q191" i="24" s="1"/>
  <c r="Q204" i="24" s="1"/>
  <c r="Q159" i="24"/>
  <c r="R146" i="24"/>
  <c r="R134" i="24"/>
  <c r="R135" i="24" s="1"/>
  <c r="R141" i="24"/>
  <c r="R35" i="24"/>
  <c r="R40" i="24"/>
  <c r="R28" i="24"/>
  <c r="R29" i="24" s="1"/>
  <c r="R155" i="24" l="1"/>
  <c r="R182" i="24"/>
  <c r="R189" i="24" s="1"/>
  <c r="R142" i="24"/>
  <c r="R143" i="24" s="1"/>
  <c r="R147" i="24" s="1"/>
  <c r="R148" i="24" s="1"/>
  <c r="R152" i="24" s="1"/>
  <c r="R153" i="24" s="1"/>
  <c r="R36" i="24"/>
  <c r="R37" i="24" s="1"/>
  <c r="R41" i="24" s="1"/>
  <c r="R42" i="24" s="1"/>
  <c r="R51" i="24"/>
  <c r="R196" i="24" l="1"/>
  <c r="H189" i="24"/>
  <c r="H196" i="24" s="1"/>
  <c r="R156" i="24"/>
  <c r="R157" i="24" s="1"/>
  <c r="R183" i="24"/>
  <c r="R190" i="24" s="1"/>
  <c r="R169" i="24"/>
  <c r="R172" i="24" s="1"/>
  <c r="R47" i="24"/>
  <c r="R48" i="24" s="1"/>
  <c r="R52" i="24" s="1"/>
  <c r="R53" i="24" s="1"/>
  <c r="R184" i="24" l="1"/>
  <c r="R191" i="24" s="1"/>
  <c r="R159" i="24"/>
  <c r="H157" i="24"/>
  <c r="R61" i="24"/>
  <c r="R114" i="24" s="1"/>
  <c r="H53" i="24"/>
  <c r="R200" i="24"/>
  <c r="H190" i="24"/>
  <c r="H200" i="24" s="1"/>
  <c r="R204" i="24" l="1"/>
  <c r="H191" i="24"/>
  <c r="H204" i="24" s="1"/>
  <c r="H184" i="24"/>
  <c r="H159" i="24"/>
  <c r="P104" i="16" l="1"/>
  <c r="P100" i="16"/>
  <c r="Q106" i="16" l="1"/>
  <c r="P98" i="16"/>
  <c r="P106" i="16"/>
  <c r="Q100" i="16"/>
  <c r="P105" i="16" l="1"/>
  <c r="P97" i="16"/>
  <c r="P99" i="16"/>
  <c r="P103" i="16"/>
  <c r="Q104" i="16"/>
  <c r="Q97" i="16"/>
  <c r="Q98" i="16"/>
  <c r="P108" i="16" l="1"/>
  <c r="P114" i="16" s="1"/>
  <c r="Q99" i="16"/>
  <c r="Q103" i="16"/>
  <c r="P102" i="16"/>
  <c r="P101" i="16"/>
  <c r="P110" i="16" s="1"/>
  <c r="P107" i="16"/>
  <c r="Q105" i="16"/>
  <c r="P115" i="16" l="1"/>
  <c r="P117" i="16" s="1"/>
  <c r="P120" i="16" s="1"/>
  <c r="P112" i="16"/>
  <c r="P111" i="16"/>
  <c r="Q102" i="16"/>
  <c r="Q107" i="16"/>
  <c r="Q101" i="16"/>
  <c r="Q110" i="16" s="1"/>
  <c r="Q108" i="16"/>
  <c r="Q114" i="16" s="1"/>
  <c r="Q115" i="16" l="1"/>
  <c r="Q117" i="16" s="1"/>
  <c r="Q120" i="16" s="1"/>
  <c r="Q111" i="16"/>
  <c r="Q112" i="16"/>
  <c r="P134" i="16"/>
  <c r="P125" i="16"/>
  <c r="Q125" i="16" l="1"/>
  <c r="Q134" i="16"/>
  <c r="P75" i="16"/>
  <c r="P78" i="16"/>
  <c r="Q85" i="16" l="1"/>
  <c r="P85" i="16"/>
  <c r="Q79" i="16"/>
  <c r="P79" i="16"/>
  <c r="Q83" i="16"/>
  <c r="P83" i="16"/>
  <c r="Q76" i="16"/>
  <c r="P76" i="16"/>
  <c r="P88" i="16" s="1"/>
  <c r="Q80" i="16"/>
  <c r="P80" i="16"/>
  <c r="Q86" i="16"/>
  <c r="Q91" i="16" s="1"/>
  <c r="P86" i="16"/>
  <c r="P91" i="16" s="1"/>
  <c r="Q82" i="16"/>
  <c r="P82" i="16"/>
  <c r="Q77" i="16"/>
  <c r="P77" i="16"/>
  <c r="Q84" i="16"/>
  <c r="P84" i="16"/>
  <c r="Q81" i="16"/>
  <c r="P81" i="16"/>
  <c r="P92" i="16" l="1"/>
  <c r="P94" i="16" s="1"/>
  <c r="P119" i="16" s="1"/>
  <c r="P121" i="16" s="1"/>
  <c r="P124" i="16" s="1"/>
  <c r="P127" i="16" s="1"/>
  <c r="P129" i="16" s="1"/>
  <c r="P131" i="16" s="1"/>
  <c r="P133" i="16" s="1"/>
  <c r="P135" i="16" s="1"/>
  <c r="P89" i="16"/>
  <c r="P130" i="16" s="1"/>
  <c r="Q75" i="16"/>
  <c r="Q88" i="16" s="1"/>
  <c r="Q78" i="16"/>
  <c r="Q92" i="16" l="1"/>
  <c r="Q94" i="16" s="1"/>
  <c r="Q119" i="16" s="1"/>
  <c r="Q121" i="16" s="1"/>
  <c r="Q124" i="16" s="1"/>
  <c r="Q127" i="16" s="1"/>
  <c r="Q129" i="16" s="1"/>
  <c r="Q131" i="16" s="1"/>
  <c r="Q133" i="16" s="1"/>
  <c r="Q135" i="16" s="1"/>
  <c r="Q89" i="16"/>
  <c r="Q130" i="16" s="1"/>
  <c r="P69" i="24"/>
  <c r="P70" i="24" s="1"/>
  <c r="P74" i="24" s="1"/>
  <c r="P75" i="24" s="1"/>
  <c r="P69" i="23"/>
  <c r="P70" i="23" s="1"/>
  <c r="P74" i="23" s="1"/>
  <c r="P69" i="22"/>
  <c r="P70" i="22" s="1"/>
  <c r="P74" i="22" s="1"/>
  <c r="P69" i="21"/>
  <c r="P70" i="21" s="1"/>
  <c r="P74" i="21" s="1"/>
  <c r="P69" i="12"/>
  <c r="P70" i="12" s="1"/>
  <c r="P74" i="12" s="1"/>
  <c r="P86" i="24" l="1"/>
  <c r="P91" i="24" s="1"/>
  <c r="P79" i="24"/>
  <c r="P80" i="24" s="1"/>
  <c r="Q69" i="22"/>
  <c r="Q70" i="22" s="1"/>
  <c r="Q74" i="22" s="1"/>
  <c r="Q69" i="24"/>
  <c r="Q70" i="24" s="1"/>
  <c r="Q74" i="24" s="1"/>
  <c r="Q69" i="21"/>
  <c r="Q70" i="21" s="1"/>
  <c r="Q74" i="21" s="1"/>
  <c r="Q69" i="23"/>
  <c r="Q70" i="23" s="1"/>
  <c r="Q74" i="23" s="1"/>
  <c r="Q69" i="12"/>
  <c r="Q70" i="12" s="1"/>
  <c r="Q74" i="12" s="1"/>
  <c r="P87" i="24" l="1"/>
  <c r="P88" i="24" s="1"/>
  <c r="P106" i="24"/>
  <c r="P185" i="24" l="1"/>
  <c r="P192" i="24" s="1"/>
  <c r="P102" i="24"/>
  <c r="P103" i="24" s="1"/>
  <c r="P92" i="24"/>
  <c r="P93" i="24" s="1"/>
  <c r="Q85" i="24"/>
  <c r="Q78" i="24" l="1"/>
  <c r="Q90" i="24"/>
  <c r="Q73" i="24"/>
  <c r="Q75" i="24" s="1"/>
  <c r="P98" i="24"/>
  <c r="P99" i="24" s="1"/>
  <c r="P107" i="24" s="1"/>
  <c r="P170" i="24"/>
  <c r="P173" i="24" s="1"/>
  <c r="P174" i="24" s="1"/>
  <c r="P176" i="24" s="1"/>
  <c r="P178" i="24" s="1"/>
  <c r="P28" i="20" s="1"/>
  <c r="P197" i="24"/>
  <c r="P198" i="24" s="1"/>
  <c r="P214" i="24" l="1"/>
  <c r="P216" i="24" s="1"/>
  <c r="P186" i="24"/>
  <c r="P193" i="24" s="1"/>
  <c r="P108" i="24"/>
  <c r="Q86" i="24"/>
  <c r="Q91" i="24" s="1"/>
  <c r="Q79" i="24"/>
  <c r="Q80" i="24" s="1"/>
  <c r="Q87" i="24" l="1"/>
  <c r="Q88" i="24" s="1"/>
  <c r="Q106" i="24"/>
  <c r="P187" i="24"/>
  <c r="P194" i="24" s="1"/>
  <c r="P115" i="24"/>
  <c r="P116" i="24" s="1"/>
  <c r="P160" i="24"/>
  <c r="P161" i="24" s="1"/>
  <c r="P201" i="24"/>
  <c r="P202" i="24" s="1"/>
  <c r="P29" i="20"/>
  <c r="P163" i="24" l="1"/>
  <c r="P164" i="24"/>
  <c r="P219" i="24"/>
  <c r="P221" i="24" s="1"/>
  <c r="P205" i="24"/>
  <c r="P206" i="24" s="1"/>
  <c r="Q185" i="24"/>
  <c r="Q192" i="24" s="1"/>
  <c r="Q102" i="24"/>
  <c r="Q103" i="24" s="1"/>
  <c r="R85" i="24"/>
  <c r="Q92" i="24"/>
  <c r="Q93" i="24" s="1"/>
  <c r="P30" i="20" l="1"/>
  <c r="Q170" i="24"/>
  <c r="Q173" i="24" s="1"/>
  <c r="Q174" i="24" s="1"/>
  <c r="Q176" i="24" s="1"/>
  <c r="Q178" i="24" s="1"/>
  <c r="Q28" i="20" s="1"/>
  <c r="Q98" i="24"/>
  <c r="Q99" i="24" s="1"/>
  <c r="Q107" i="24" s="1"/>
  <c r="R73" i="24"/>
  <c r="R78" i="24"/>
  <c r="R90" i="24"/>
  <c r="Q197" i="24"/>
  <c r="Q198" i="24" s="1"/>
  <c r="P166" i="24"/>
  <c r="P165" i="24"/>
  <c r="Q214" i="24" l="1"/>
  <c r="Q216" i="24" s="1"/>
  <c r="Q186" i="24"/>
  <c r="Q193" i="24" s="1"/>
  <c r="Q108" i="24"/>
  <c r="Q115" i="24" l="1"/>
  <c r="Q116" i="24" s="1"/>
  <c r="Q160" i="24"/>
  <c r="Q161" i="24" s="1"/>
  <c r="Q187" i="24"/>
  <c r="Q194" i="24" s="1"/>
  <c r="Q201" i="24"/>
  <c r="Q202" i="24" s="1"/>
  <c r="Q29" i="20"/>
  <c r="Q219" i="24" l="1"/>
  <c r="Q221" i="24" s="1"/>
  <c r="Q163" i="24"/>
  <c r="Q205" i="24"/>
  <c r="Q206" i="24" s="1"/>
  <c r="Q164" i="24"/>
  <c r="Q165" i="24" s="1"/>
  <c r="H116" i="24"/>
  <c r="H164" i="24" s="1"/>
  <c r="Q166" i="24" l="1"/>
  <c r="Q30" i="20"/>
  <c r="R80" i="16"/>
  <c r="R79" i="16"/>
  <c r="R100" i="16" l="1"/>
  <c r="R103" i="16"/>
  <c r="R101" i="16"/>
  <c r="R102" i="16"/>
  <c r="R76" i="16"/>
  <c r="R97" i="16"/>
  <c r="R98" i="16"/>
  <c r="R81" i="16"/>
  <c r="R78" i="16"/>
  <c r="R104" i="16" l="1"/>
  <c r="R75" i="16"/>
  <c r="R99" i="16"/>
  <c r="R77" i="16"/>
  <c r="R83" i="16" l="1"/>
  <c r="R105" i="16" l="1"/>
  <c r="R107" i="16" l="1"/>
  <c r="R82" i="16"/>
  <c r="P210" i="21" l="1"/>
  <c r="P211" i="21" s="1"/>
  <c r="O210" i="21"/>
  <c r="O211" i="21" s="1"/>
  <c r="N210" i="21"/>
  <c r="N211" i="21" s="1"/>
  <c r="M210" i="21"/>
  <c r="M211" i="21" s="1"/>
  <c r="R106" i="16" l="1"/>
  <c r="O96" i="21"/>
  <c r="O45" i="21"/>
  <c r="O150" i="21"/>
  <c r="M215" i="21"/>
  <c r="M220" i="21"/>
  <c r="N215" i="21"/>
  <c r="N220" i="21"/>
  <c r="P45" i="21"/>
  <c r="P96" i="21"/>
  <c r="P150" i="21"/>
  <c r="O215" i="21"/>
  <c r="O220" i="21"/>
  <c r="N96" i="21"/>
  <c r="N45" i="21"/>
  <c r="N150" i="21"/>
  <c r="P220" i="21"/>
  <c r="P215" i="21"/>
  <c r="Q210" i="21"/>
  <c r="Q211" i="21" s="1"/>
  <c r="R210" i="21"/>
  <c r="R211" i="21" s="1"/>
  <c r="M150" i="21"/>
  <c r="M45" i="21"/>
  <c r="M96" i="21"/>
  <c r="M26" i="22" l="1"/>
  <c r="M29" i="22" s="1"/>
  <c r="M77" i="22"/>
  <c r="M80" i="22" s="1"/>
  <c r="M132" i="22"/>
  <c r="M135" i="22" s="1"/>
  <c r="O77" i="22"/>
  <c r="O132" i="22"/>
  <c r="O26" i="22"/>
  <c r="O77" i="21"/>
  <c r="O26" i="21"/>
  <c r="O132" i="21"/>
  <c r="R210" i="12"/>
  <c r="R211" i="12" s="1"/>
  <c r="Q210" i="12"/>
  <c r="Q211" i="12" s="1"/>
  <c r="Q96" i="21"/>
  <c r="Q150" i="21"/>
  <c r="Q45" i="21"/>
  <c r="M132" i="23"/>
  <c r="M135" i="23" s="1"/>
  <c r="M26" i="23"/>
  <c r="M29" i="23" s="1"/>
  <c r="M77" i="23"/>
  <c r="M80" i="23" s="1"/>
  <c r="N77" i="22"/>
  <c r="N132" i="22"/>
  <c r="N26" i="22"/>
  <c r="N26" i="21"/>
  <c r="N77" i="21"/>
  <c r="N132" i="21"/>
  <c r="P210" i="12"/>
  <c r="P211" i="12" s="1"/>
  <c r="R96" i="21"/>
  <c r="R45" i="21"/>
  <c r="R150" i="21"/>
  <c r="O210" i="12"/>
  <c r="O211" i="12" s="1"/>
  <c r="R215" i="21"/>
  <c r="R220" i="21"/>
  <c r="M132" i="12"/>
  <c r="M135" i="12" s="1"/>
  <c r="M26" i="12"/>
  <c r="M29" i="12" s="1"/>
  <c r="M77" i="12"/>
  <c r="M80" i="12" s="1"/>
  <c r="P132" i="23"/>
  <c r="P26" i="23"/>
  <c r="P77" i="23"/>
  <c r="P132" i="12"/>
  <c r="P26" i="12"/>
  <c r="P77" i="12"/>
  <c r="N210" i="12"/>
  <c r="N211" i="12" s="1"/>
  <c r="Q215" i="21"/>
  <c r="Q220" i="21"/>
  <c r="P26" i="21"/>
  <c r="P132" i="21"/>
  <c r="P77" i="21"/>
  <c r="O77" i="23"/>
  <c r="O132" i="23"/>
  <c r="O26" i="23"/>
  <c r="O26" i="12"/>
  <c r="O77" i="12"/>
  <c r="O132" i="12"/>
  <c r="P26" i="22"/>
  <c r="P77" i="22"/>
  <c r="P132" i="22"/>
  <c r="N26" i="23"/>
  <c r="N77" i="23"/>
  <c r="N132" i="23"/>
  <c r="N77" i="12"/>
  <c r="N132" i="12"/>
  <c r="N26" i="12"/>
  <c r="M210" i="12"/>
  <c r="M211" i="12" s="1"/>
  <c r="M132" i="21"/>
  <c r="M135" i="21" s="1"/>
  <c r="M77" i="21"/>
  <c r="M80" i="21" s="1"/>
  <c r="M26" i="21"/>
  <c r="M29" i="21" s="1"/>
  <c r="R108" i="16" l="1"/>
  <c r="M182" i="12"/>
  <c r="M155" i="12"/>
  <c r="M142" i="12"/>
  <c r="M143" i="12" s="1"/>
  <c r="M220" i="12"/>
  <c r="M215" i="12"/>
  <c r="Q77" i="23"/>
  <c r="Q132" i="23"/>
  <c r="Q26" i="23"/>
  <c r="R132" i="21"/>
  <c r="R77" i="21"/>
  <c r="R26" i="21"/>
  <c r="M210" i="23"/>
  <c r="M211" i="23" s="1"/>
  <c r="M210" i="22"/>
  <c r="M211" i="22" s="1"/>
  <c r="R26" i="23"/>
  <c r="R77" i="23"/>
  <c r="R132" i="23"/>
  <c r="M182" i="21"/>
  <c r="M189" i="21" s="1"/>
  <c r="M142" i="21"/>
  <c r="M143" i="21" s="1"/>
  <c r="M155" i="21"/>
  <c r="Q26" i="21"/>
  <c r="Q77" i="21"/>
  <c r="Q132" i="21"/>
  <c r="O150" i="12"/>
  <c r="O96" i="12"/>
  <c r="O45" i="12"/>
  <c r="N215" i="12"/>
  <c r="N220" i="12"/>
  <c r="O215" i="12"/>
  <c r="O220" i="12"/>
  <c r="M142" i="23"/>
  <c r="M143" i="23" s="1"/>
  <c r="M182" i="23"/>
  <c r="M189" i="23" s="1"/>
  <c r="M155" i="23"/>
  <c r="R132" i="22"/>
  <c r="R77" i="22"/>
  <c r="R26" i="22"/>
  <c r="N210" i="23"/>
  <c r="N211" i="23" s="1"/>
  <c r="N210" i="22"/>
  <c r="N211" i="22" s="1"/>
  <c r="O210" i="23"/>
  <c r="O211" i="23" s="1"/>
  <c r="O210" i="22"/>
  <c r="O211" i="22" s="1"/>
  <c r="Q220" i="12"/>
  <c r="Q215" i="12"/>
  <c r="N45" i="12"/>
  <c r="N96" i="12"/>
  <c r="N150" i="12"/>
  <c r="R132" i="12"/>
  <c r="R26" i="12"/>
  <c r="R77" i="12"/>
  <c r="Q77" i="22"/>
  <c r="Q132" i="22"/>
  <c r="Q26" i="22"/>
  <c r="Q45" i="12"/>
  <c r="Q96" i="12"/>
  <c r="Q150" i="12"/>
  <c r="M96" i="12"/>
  <c r="M45" i="12"/>
  <c r="M150" i="12"/>
  <c r="R215" i="12"/>
  <c r="R220" i="12"/>
  <c r="M142" i="22"/>
  <c r="M143" i="22" s="1"/>
  <c r="M155" i="22"/>
  <c r="M182" i="22"/>
  <c r="M189" i="22" s="1"/>
  <c r="M51" i="21"/>
  <c r="M36" i="21"/>
  <c r="M37" i="21" s="1"/>
  <c r="P96" i="12"/>
  <c r="P150" i="12"/>
  <c r="P45" i="12"/>
  <c r="R150" i="12"/>
  <c r="R96" i="12"/>
  <c r="R45" i="12"/>
  <c r="M106" i="12"/>
  <c r="M185" i="12" s="1"/>
  <c r="M192" i="12" s="1"/>
  <c r="M87" i="12"/>
  <c r="M88" i="12" s="1"/>
  <c r="P220" i="12"/>
  <c r="P215" i="12"/>
  <c r="M106" i="23"/>
  <c r="M87" i="23"/>
  <c r="M88" i="23" s="1"/>
  <c r="Q210" i="22"/>
  <c r="Q211" i="22" s="1"/>
  <c r="R210" i="22"/>
  <c r="R211" i="22" s="1"/>
  <c r="M106" i="22"/>
  <c r="M87" i="22"/>
  <c r="M88" i="22" s="1"/>
  <c r="M106" i="21"/>
  <c r="M87" i="21"/>
  <c r="M88" i="21" s="1"/>
  <c r="M36" i="12"/>
  <c r="M37" i="12" s="1"/>
  <c r="M51" i="12"/>
  <c r="Q77" i="12"/>
  <c r="Q132" i="12"/>
  <c r="Q26" i="12"/>
  <c r="P210" i="23"/>
  <c r="P211" i="23" s="1"/>
  <c r="P210" i="22"/>
  <c r="P211" i="22" s="1"/>
  <c r="M51" i="23"/>
  <c r="M36" i="23"/>
  <c r="M37" i="23" s="1"/>
  <c r="M36" i="22"/>
  <c r="M37" i="22" s="1"/>
  <c r="M51" i="22"/>
  <c r="R114" i="16" l="1"/>
  <c r="R110" i="16"/>
  <c r="N34" i="22"/>
  <c r="M41" i="22"/>
  <c r="M42" i="22" s="1"/>
  <c r="M185" i="21"/>
  <c r="M192" i="21" s="1"/>
  <c r="N140" i="22"/>
  <c r="M147" i="22"/>
  <c r="M148" i="22" s="1"/>
  <c r="M152" i="22" s="1"/>
  <c r="O45" i="22"/>
  <c r="O150" i="22"/>
  <c r="O96" i="22"/>
  <c r="M215" i="22"/>
  <c r="M220" i="22"/>
  <c r="M147" i="23"/>
  <c r="M148" i="23" s="1"/>
  <c r="M152" i="23" s="1"/>
  <c r="N140" i="23"/>
  <c r="M92" i="22"/>
  <c r="M93" i="22" s="1"/>
  <c r="N85" i="22"/>
  <c r="M102" i="22"/>
  <c r="M103" i="22" s="1"/>
  <c r="O45" i="23"/>
  <c r="O96" i="23"/>
  <c r="O150" i="23"/>
  <c r="M215" i="23"/>
  <c r="M220" i="23"/>
  <c r="M41" i="23"/>
  <c r="M42" i="23" s="1"/>
  <c r="N34" i="23"/>
  <c r="R45" i="22"/>
  <c r="R150" i="22"/>
  <c r="R96" i="22"/>
  <c r="M185" i="22"/>
  <c r="M192" i="22" s="1"/>
  <c r="M96" i="22"/>
  <c r="M150" i="22"/>
  <c r="M45" i="22"/>
  <c r="N150" i="22"/>
  <c r="N45" i="22"/>
  <c r="N96" i="22"/>
  <c r="N85" i="21"/>
  <c r="M102" i="21"/>
  <c r="M103" i="21" s="1"/>
  <c r="M92" i="21"/>
  <c r="M93" i="21" s="1"/>
  <c r="M41" i="12"/>
  <c r="M42" i="12" s="1"/>
  <c r="N34" i="12"/>
  <c r="P220" i="22"/>
  <c r="P215" i="22"/>
  <c r="Q96" i="22"/>
  <c r="Q150" i="22"/>
  <c r="Q45" i="22"/>
  <c r="R215" i="22"/>
  <c r="R220" i="22"/>
  <c r="M150" i="23"/>
  <c r="M45" i="23"/>
  <c r="M96" i="23"/>
  <c r="N140" i="21"/>
  <c r="M147" i="21"/>
  <c r="M148" i="21" s="1"/>
  <c r="M152" i="21" s="1"/>
  <c r="M153" i="21" s="1"/>
  <c r="N45" i="23"/>
  <c r="N96" i="23"/>
  <c r="N150" i="23"/>
  <c r="M185" i="23"/>
  <c r="M192" i="23" s="1"/>
  <c r="N85" i="12"/>
  <c r="M102" i="12"/>
  <c r="M103" i="12" s="1"/>
  <c r="M92" i="12"/>
  <c r="M93" i="12" s="1"/>
  <c r="N34" i="21"/>
  <c r="M41" i="21"/>
  <c r="M42" i="21" s="1"/>
  <c r="O215" i="22"/>
  <c r="O220" i="22"/>
  <c r="M196" i="21"/>
  <c r="M147" i="12"/>
  <c r="M148" i="12" s="1"/>
  <c r="M152" i="12" s="1"/>
  <c r="M153" i="12" s="1"/>
  <c r="N140" i="12"/>
  <c r="N215" i="23"/>
  <c r="N220" i="23"/>
  <c r="P220" i="23"/>
  <c r="P215" i="23"/>
  <c r="Q215" i="22"/>
  <c r="Q220" i="22"/>
  <c r="P45" i="22"/>
  <c r="P96" i="22"/>
  <c r="P150" i="22"/>
  <c r="R210" i="23"/>
  <c r="R211" i="23" s="1"/>
  <c r="Q210" i="23"/>
  <c r="Q211" i="23" s="1"/>
  <c r="M197" i="12"/>
  <c r="O215" i="23"/>
  <c r="O220" i="23"/>
  <c r="M189" i="12"/>
  <c r="P96" i="23"/>
  <c r="P45" i="23"/>
  <c r="P150" i="23"/>
  <c r="N85" i="23"/>
  <c r="M102" i="23"/>
  <c r="M103" i="23" s="1"/>
  <c r="M92" i="23"/>
  <c r="M93" i="23" s="1"/>
  <c r="M196" i="22"/>
  <c r="N220" i="22"/>
  <c r="N215" i="22"/>
  <c r="M196" i="23"/>
  <c r="R115" i="16" l="1"/>
  <c r="R117" i="16" s="1"/>
  <c r="R120" i="16" s="1"/>
  <c r="R111" i="16"/>
  <c r="R112" i="16"/>
  <c r="Q215" i="23"/>
  <c r="Q220" i="23"/>
  <c r="R220" i="23"/>
  <c r="R215" i="23"/>
  <c r="M47" i="21"/>
  <c r="M48" i="21" s="1"/>
  <c r="M52" i="21" s="1"/>
  <c r="M53" i="21" s="1"/>
  <c r="M169" i="21"/>
  <c r="M172" i="21" s="1"/>
  <c r="M197" i="23"/>
  <c r="N22" i="12"/>
  <c r="N24" i="12" s="1"/>
  <c r="N27" i="12"/>
  <c r="N39" i="12" s="1"/>
  <c r="N22" i="23"/>
  <c r="N24" i="23" s="1"/>
  <c r="N27" i="23"/>
  <c r="N39" i="23" s="1"/>
  <c r="N78" i="22"/>
  <c r="N73" i="22"/>
  <c r="N75" i="22" s="1"/>
  <c r="N90" i="22"/>
  <c r="N27" i="21"/>
  <c r="N39" i="21" s="1"/>
  <c r="N22" i="21"/>
  <c r="N24" i="21" s="1"/>
  <c r="M169" i="12"/>
  <c r="M172" i="12" s="1"/>
  <c r="M47" i="12"/>
  <c r="M48" i="12" s="1"/>
  <c r="M52" i="12" s="1"/>
  <c r="M53" i="12" s="1"/>
  <c r="M169" i="23"/>
  <c r="M172" i="23" s="1"/>
  <c r="M47" i="23"/>
  <c r="M48" i="23" s="1"/>
  <c r="M52" i="23" s="1"/>
  <c r="M53" i="23" s="1"/>
  <c r="M170" i="22"/>
  <c r="M173" i="22" s="1"/>
  <c r="M98" i="22"/>
  <c r="M99" i="22" s="1"/>
  <c r="M107" i="22" s="1"/>
  <c r="M153" i="22"/>
  <c r="M196" i="12"/>
  <c r="N145" i="12"/>
  <c r="N133" i="12"/>
  <c r="N128" i="12"/>
  <c r="N130" i="12" s="1"/>
  <c r="M98" i="12"/>
  <c r="M99" i="12" s="1"/>
  <c r="M107" i="12" s="1"/>
  <c r="M170" i="12"/>
  <c r="M173" i="12" s="1"/>
  <c r="M174" i="12" s="1"/>
  <c r="M176" i="12" s="1"/>
  <c r="M178" i="12" s="1"/>
  <c r="M13" i="20" s="1"/>
  <c r="M170" i="21"/>
  <c r="M173" i="21" s="1"/>
  <c r="M98" i="21"/>
  <c r="M99" i="21" s="1"/>
  <c r="M107" i="21" s="1"/>
  <c r="N133" i="23"/>
  <c r="N145" i="23"/>
  <c r="N128" i="23"/>
  <c r="N130" i="23" s="1"/>
  <c r="N133" i="22"/>
  <c r="N145" i="22"/>
  <c r="N128" i="22"/>
  <c r="N130" i="22" s="1"/>
  <c r="M98" i="23"/>
  <c r="M99" i="23" s="1"/>
  <c r="M107" i="23" s="1"/>
  <c r="M170" i="23"/>
  <c r="M173" i="23" s="1"/>
  <c r="M153" i="23"/>
  <c r="M183" i="12"/>
  <c r="M190" i="12" s="1"/>
  <c r="M156" i="12"/>
  <c r="M157" i="12" s="1"/>
  <c r="N78" i="12"/>
  <c r="N90" i="12"/>
  <c r="N73" i="12"/>
  <c r="N75" i="12" s="1"/>
  <c r="M183" i="21"/>
  <c r="M190" i="21" s="1"/>
  <c r="M156" i="21"/>
  <c r="M157" i="21" s="1"/>
  <c r="N78" i="21"/>
  <c r="N73" i="21"/>
  <c r="N75" i="21" s="1"/>
  <c r="N90" i="21"/>
  <c r="M197" i="22"/>
  <c r="M198" i="22" s="1"/>
  <c r="M197" i="21"/>
  <c r="M198" i="21" s="1"/>
  <c r="N73" i="23"/>
  <c r="N75" i="23" s="1"/>
  <c r="N90" i="23"/>
  <c r="N78" i="23"/>
  <c r="R96" i="23"/>
  <c r="R45" i="23"/>
  <c r="R150" i="23"/>
  <c r="N133" i="21"/>
  <c r="N128" i="21"/>
  <c r="N130" i="21" s="1"/>
  <c r="N145" i="21"/>
  <c r="M47" i="22"/>
  <c r="M48" i="22" s="1"/>
  <c r="M52" i="22" s="1"/>
  <c r="M53" i="22" s="1"/>
  <c r="M169" i="22"/>
  <c r="M172" i="22" s="1"/>
  <c r="M174" i="22" s="1"/>
  <c r="M176" i="22" s="1"/>
  <c r="M178" i="22" s="1"/>
  <c r="M18" i="20" s="1"/>
  <c r="M198" i="23"/>
  <c r="M198" i="12"/>
  <c r="Q45" i="23"/>
  <c r="Q150" i="23"/>
  <c r="Q96" i="23"/>
  <c r="N27" i="22"/>
  <c r="N39" i="22" s="1"/>
  <c r="N22" i="22"/>
  <c r="N24" i="22" s="1"/>
  <c r="R125" i="16" l="1"/>
  <c r="R134" i="16"/>
  <c r="M174" i="21"/>
  <c r="M176" i="21" s="1"/>
  <c r="M178" i="21" s="1"/>
  <c r="M8" i="20" s="1"/>
  <c r="M214" i="21"/>
  <c r="M216" i="21" s="1"/>
  <c r="M214" i="22"/>
  <c r="M216" i="22" s="1"/>
  <c r="M214" i="12"/>
  <c r="M216" i="12" s="1"/>
  <c r="M108" i="12"/>
  <c r="M186" i="12"/>
  <c r="M193" i="12" s="1"/>
  <c r="M201" i="12" s="1"/>
  <c r="M202" i="12" s="1"/>
  <c r="M186" i="22"/>
  <c r="M193" i="22" s="1"/>
  <c r="M108" i="22"/>
  <c r="N134" i="12"/>
  <c r="N135" i="12" s="1"/>
  <c r="N146" i="12"/>
  <c r="N141" i="12"/>
  <c r="N86" i="22"/>
  <c r="N91" i="22" s="1"/>
  <c r="N79" i="22"/>
  <c r="N80" i="22" s="1"/>
  <c r="M156" i="22"/>
  <c r="M157" i="22" s="1"/>
  <c r="M183" i="22"/>
  <c r="M190" i="22" s="1"/>
  <c r="M159" i="12"/>
  <c r="M184" i="12"/>
  <c r="M191" i="12" s="1"/>
  <c r="M61" i="23"/>
  <c r="M114" i="23" s="1"/>
  <c r="M61" i="21"/>
  <c r="M114" i="21" s="1"/>
  <c r="M214" i="23"/>
  <c r="M216" i="23" s="1"/>
  <c r="N40" i="22"/>
  <c r="N28" i="22"/>
  <c r="N29" i="22" s="1"/>
  <c r="N35" i="22"/>
  <c r="N86" i="21"/>
  <c r="N91" i="21" s="1"/>
  <c r="N79" i="21"/>
  <c r="N80" i="21" s="1"/>
  <c r="M200" i="12"/>
  <c r="M174" i="23"/>
  <c r="M176" i="23" s="1"/>
  <c r="M178" i="23" s="1"/>
  <c r="M23" i="20" s="1"/>
  <c r="N141" i="22"/>
  <c r="N134" i="22"/>
  <c r="N135" i="22" s="1"/>
  <c r="N146" i="22"/>
  <c r="M61" i="22"/>
  <c r="M114" i="22" s="1"/>
  <c r="M183" i="23"/>
  <c r="M190" i="23" s="1"/>
  <c r="M156" i="23"/>
  <c r="M157" i="23" s="1"/>
  <c r="M61" i="12"/>
  <c r="M114" i="12" s="1"/>
  <c r="N40" i="23"/>
  <c r="N35" i="23"/>
  <c r="N28" i="23"/>
  <c r="N29" i="23" s="1"/>
  <c r="N86" i="12"/>
  <c r="N91" i="12" s="1"/>
  <c r="N79" i="12"/>
  <c r="N80" i="12" s="1"/>
  <c r="N141" i="23"/>
  <c r="N134" i="23"/>
  <c r="N135" i="23" s="1"/>
  <c r="N146" i="23"/>
  <c r="N86" i="23"/>
  <c r="N91" i="23" s="1"/>
  <c r="N79" i="23"/>
  <c r="N80" i="23" s="1"/>
  <c r="M159" i="21"/>
  <c r="M184" i="21"/>
  <c r="M191" i="21" s="1"/>
  <c r="M186" i="21"/>
  <c r="M193" i="21" s="1"/>
  <c r="M108" i="21"/>
  <c r="N146" i="21"/>
  <c r="N134" i="21"/>
  <c r="N135" i="21" s="1"/>
  <c r="N141" i="21"/>
  <c r="M200" i="21"/>
  <c r="M186" i="23"/>
  <c r="M193" i="23" s="1"/>
  <c r="M108" i="23"/>
  <c r="N35" i="21"/>
  <c r="N28" i="21"/>
  <c r="N29" i="21" s="1"/>
  <c r="N40" i="21"/>
  <c r="N40" i="12"/>
  <c r="N35" i="12"/>
  <c r="N28" i="12"/>
  <c r="N29" i="12" s="1"/>
  <c r="N87" i="12" l="1"/>
  <c r="N88" i="12" s="1"/>
  <c r="N106" i="12"/>
  <c r="N106" i="21"/>
  <c r="N87" i="21"/>
  <c r="N88" i="21" s="1"/>
  <c r="N87" i="22"/>
  <c r="N88" i="22" s="1"/>
  <c r="N106" i="22"/>
  <c r="M187" i="12"/>
  <c r="M194" i="12" s="1"/>
  <c r="M115" i="12"/>
  <c r="M116" i="12" s="1"/>
  <c r="M160" i="12"/>
  <c r="M201" i="23"/>
  <c r="N51" i="23"/>
  <c r="N36" i="23"/>
  <c r="N37" i="23" s="1"/>
  <c r="M219" i="12"/>
  <c r="M221" i="12" s="1"/>
  <c r="N87" i="23"/>
  <c r="N88" i="23" s="1"/>
  <c r="N106" i="23"/>
  <c r="M14" i="20"/>
  <c r="N155" i="21"/>
  <c r="N142" i="21"/>
  <c r="N143" i="21" s="1"/>
  <c r="N182" i="21"/>
  <c r="N189" i="21" s="1"/>
  <c r="N182" i="22"/>
  <c r="N189" i="22" s="1"/>
  <c r="N142" i="22"/>
  <c r="N143" i="22" s="1"/>
  <c r="N155" i="22"/>
  <c r="N36" i="22"/>
  <c r="N37" i="22" s="1"/>
  <c r="N51" i="22"/>
  <c r="M184" i="22"/>
  <c r="M191" i="22" s="1"/>
  <c r="M159" i="22"/>
  <c r="N51" i="21"/>
  <c r="N36" i="21"/>
  <c r="N37" i="21" s="1"/>
  <c r="M204" i="12"/>
  <c r="N182" i="12"/>
  <c r="N142" i="12"/>
  <c r="N143" i="12" s="1"/>
  <c r="N155" i="12"/>
  <c r="M19" i="20"/>
  <c r="M200" i="23"/>
  <c r="M202" i="23" s="1"/>
  <c r="M204" i="21"/>
  <c r="N155" i="23"/>
  <c r="N142" i="23"/>
  <c r="N143" i="23" s="1"/>
  <c r="N182" i="23"/>
  <c r="N189" i="23" s="1"/>
  <c r="M161" i="12"/>
  <c r="M163" i="12" s="1"/>
  <c r="M187" i="22"/>
  <c r="M194" i="22" s="1"/>
  <c r="M115" i="22"/>
  <c r="M116" i="22" s="1"/>
  <c r="M160" i="22"/>
  <c r="N51" i="12"/>
  <c r="N36" i="12"/>
  <c r="N37" i="12" s="1"/>
  <c r="M115" i="21"/>
  <c r="M116" i="21" s="1"/>
  <c r="M160" i="21"/>
  <c r="M161" i="21" s="1"/>
  <c r="M187" i="21"/>
  <c r="M194" i="21" s="1"/>
  <c r="M187" i="23"/>
  <c r="M194" i="23" s="1"/>
  <c r="M160" i="23"/>
  <c r="M115" i="23"/>
  <c r="M116" i="23" s="1"/>
  <c r="M201" i="21"/>
  <c r="M202" i="21" s="1"/>
  <c r="M184" i="23"/>
  <c r="M191" i="23" s="1"/>
  <c r="M159" i="23"/>
  <c r="M24" i="20"/>
  <c r="M200" i="22"/>
  <c r="M201" i="22"/>
  <c r="M9" i="20"/>
  <c r="M163" i="21" l="1"/>
  <c r="M164" i="12"/>
  <c r="M166" i="12" s="1"/>
  <c r="M219" i="21"/>
  <c r="M221" i="21" s="1"/>
  <c r="M164" i="22"/>
  <c r="N147" i="23"/>
  <c r="N148" i="23" s="1"/>
  <c r="N152" i="23" s="1"/>
  <c r="N153" i="23" s="1"/>
  <c r="O140" i="23"/>
  <c r="N189" i="12"/>
  <c r="N196" i="21"/>
  <c r="M15" i="20"/>
  <c r="O140" i="12"/>
  <c r="N147" i="12"/>
  <c r="N148" i="12" s="1"/>
  <c r="N152" i="12" s="1"/>
  <c r="N153" i="12" s="1"/>
  <c r="M161" i="22"/>
  <c r="O140" i="21"/>
  <c r="N147" i="21"/>
  <c r="N148" i="21" s="1"/>
  <c r="N152" i="21" s="1"/>
  <c r="N153" i="21" s="1"/>
  <c r="M205" i="12"/>
  <c r="M206" i="12" s="1"/>
  <c r="M204" i="23"/>
  <c r="M206" i="23" s="1"/>
  <c r="N102" i="22"/>
  <c r="N103" i="22" s="1"/>
  <c r="O85" i="22"/>
  <c r="N92" i="22"/>
  <c r="N93" i="22" s="1"/>
  <c r="M205" i="23"/>
  <c r="M205" i="22"/>
  <c r="O34" i="22"/>
  <c r="N41" i="22"/>
  <c r="N42" i="22" s="1"/>
  <c r="O85" i="21"/>
  <c r="N92" i="21"/>
  <c r="N93" i="21" s="1"/>
  <c r="N102" i="21"/>
  <c r="N103" i="21" s="1"/>
  <c r="M161" i="23"/>
  <c r="N185" i="22"/>
  <c r="N192" i="22" s="1"/>
  <c r="M165" i="12"/>
  <c r="M219" i="23"/>
  <c r="M221" i="23" s="1"/>
  <c r="O34" i="21"/>
  <c r="N41" i="21"/>
  <c r="N42" i="21" s="1"/>
  <c r="N185" i="23"/>
  <c r="N192" i="23" s="1"/>
  <c r="N185" i="21"/>
  <c r="N192" i="21" s="1"/>
  <c r="N41" i="23"/>
  <c r="N42" i="23" s="1"/>
  <c r="O34" i="23"/>
  <c r="M164" i="21"/>
  <c r="M165" i="21" s="1"/>
  <c r="M202" i="22"/>
  <c r="N147" i="22"/>
  <c r="N148" i="22" s="1"/>
  <c r="N152" i="22" s="1"/>
  <c r="N153" i="22" s="1"/>
  <c r="O140" i="22"/>
  <c r="N102" i="23"/>
  <c r="N103" i="23" s="1"/>
  <c r="N92" i="23"/>
  <c r="N93" i="23" s="1"/>
  <c r="O85" i="23"/>
  <c r="N185" i="12"/>
  <c r="N192" i="12" s="1"/>
  <c r="M204" i="22"/>
  <c r="M206" i="22" s="1"/>
  <c r="M205" i="21"/>
  <c r="M206" i="21" s="1"/>
  <c r="M164" i="23"/>
  <c r="O34" i="12"/>
  <c r="N41" i="12"/>
  <c r="N42" i="12" s="1"/>
  <c r="N196" i="23"/>
  <c r="N196" i="22"/>
  <c r="O85" i="12"/>
  <c r="N102" i="12"/>
  <c r="N103" i="12" s="1"/>
  <c r="N92" i="12"/>
  <c r="N93" i="12" s="1"/>
  <c r="M163" i="23" l="1"/>
  <c r="N47" i="21"/>
  <c r="N48" i="21" s="1"/>
  <c r="N52" i="21" s="1"/>
  <c r="N53" i="21" s="1"/>
  <c r="N169" i="21"/>
  <c r="N172" i="21" s="1"/>
  <c r="O22" i="21"/>
  <c r="O24" i="21" s="1"/>
  <c r="O27" i="21"/>
  <c r="O39" i="21" s="1"/>
  <c r="N170" i="21"/>
  <c r="N173" i="21" s="1"/>
  <c r="N98" i="21"/>
  <c r="N99" i="21" s="1"/>
  <c r="N107" i="21" s="1"/>
  <c r="O73" i="23"/>
  <c r="O75" i="23" s="1"/>
  <c r="O90" i="23"/>
  <c r="O78" i="23"/>
  <c r="O90" i="21"/>
  <c r="O78" i="21"/>
  <c r="O73" i="21"/>
  <c r="O75" i="21" s="1"/>
  <c r="N98" i="22"/>
  <c r="N99" i="22" s="1"/>
  <c r="N107" i="22" s="1"/>
  <c r="N170" i="22"/>
  <c r="N173" i="22" s="1"/>
  <c r="N183" i="21"/>
  <c r="N190" i="21" s="1"/>
  <c r="N156" i="21"/>
  <c r="N157" i="21" s="1"/>
  <c r="M10" i="20"/>
  <c r="N47" i="12"/>
  <c r="N48" i="12" s="1"/>
  <c r="N52" i="12" s="1"/>
  <c r="N53" i="12" s="1"/>
  <c r="N169" i="12"/>
  <c r="N172" i="12" s="1"/>
  <c r="O73" i="12"/>
  <c r="O75" i="12" s="1"/>
  <c r="O78" i="12"/>
  <c r="O90" i="12"/>
  <c r="N170" i="23"/>
  <c r="N173" i="23" s="1"/>
  <c r="N98" i="23"/>
  <c r="N99" i="23" s="1"/>
  <c r="N107" i="23" s="1"/>
  <c r="N169" i="23"/>
  <c r="N172" i="23" s="1"/>
  <c r="N47" i="23"/>
  <c r="N48" i="23" s="1"/>
  <c r="N52" i="23" s="1"/>
  <c r="N53" i="23" s="1"/>
  <c r="M25" i="20"/>
  <c r="N169" i="22"/>
  <c r="N172" i="22" s="1"/>
  <c r="N47" i="22"/>
  <c r="N48" i="22" s="1"/>
  <c r="N52" i="22" s="1"/>
  <c r="N53" i="22" s="1"/>
  <c r="O78" i="22"/>
  <c r="O90" i="22"/>
  <c r="O73" i="22"/>
  <c r="O75" i="22" s="1"/>
  <c r="O128" i="21"/>
  <c r="O130" i="21" s="1"/>
  <c r="O145" i="21"/>
  <c r="O133" i="21"/>
  <c r="O27" i="22"/>
  <c r="O39" i="22" s="1"/>
  <c r="O22" i="22"/>
  <c r="O24" i="22" s="1"/>
  <c r="M163" i="22"/>
  <c r="M166" i="22" s="1"/>
  <c r="N196" i="12"/>
  <c r="N197" i="23"/>
  <c r="N198" i="23" s="1"/>
  <c r="N98" i="12"/>
  <c r="N99" i="12" s="1"/>
  <c r="N107" i="12" s="1"/>
  <c r="N170" i="12"/>
  <c r="N173" i="12" s="1"/>
  <c r="O27" i="12"/>
  <c r="O39" i="12" s="1"/>
  <c r="O22" i="12"/>
  <c r="O24" i="12" s="1"/>
  <c r="O145" i="22"/>
  <c r="O133" i="22"/>
  <c r="O128" i="22"/>
  <c r="O130" i="22" s="1"/>
  <c r="N197" i="21"/>
  <c r="N198" i="21" s="1"/>
  <c r="N183" i="12"/>
  <c r="N190" i="12" s="1"/>
  <c r="N156" i="12"/>
  <c r="N157" i="12" s="1"/>
  <c r="O133" i="23"/>
  <c r="O145" i="23"/>
  <c r="O128" i="23"/>
  <c r="O130" i="23" s="1"/>
  <c r="M219" i="22"/>
  <c r="M221" i="22" s="1"/>
  <c r="N197" i="12"/>
  <c r="O27" i="23"/>
  <c r="O39" i="23" s="1"/>
  <c r="O22" i="23"/>
  <c r="O24" i="23" s="1"/>
  <c r="N156" i="22"/>
  <c r="N157" i="22" s="1"/>
  <c r="N183" i="22"/>
  <c r="N190" i="22" s="1"/>
  <c r="N197" i="22"/>
  <c r="N198" i="22" s="1"/>
  <c r="O145" i="12"/>
  <c r="O133" i="12"/>
  <c r="O128" i="12"/>
  <c r="O130" i="12" s="1"/>
  <c r="N183" i="23"/>
  <c r="N190" i="23" s="1"/>
  <c r="N156" i="23"/>
  <c r="N157" i="23" s="1"/>
  <c r="M166" i="21"/>
  <c r="N174" i="22" l="1"/>
  <c r="N176" i="22" s="1"/>
  <c r="N178" i="22" s="1"/>
  <c r="N18" i="20" s="1"/>
  <c r="M165" i="22"/>
  <c r="N174" i="21"/>
  <c r="N176" i="21" s="1"/>
  <c r="N178" i="21" s="1"/>
  <c r="N8" i="20" s="1"/>
  <c r="N214" i="23"/>
  <c r="N216" i="23" s="1"/>
  <c r="N159" i="22"/>
  <c r="N184" i="22"/>
  <c r="N191" i="22" s="1"/>
  <c r="O134" i="23"/>
  <c r="O135" i="23" s="1"/>
  <c r="O146" i="23"/>
  <c r="O141" i="23"/>
  <c r="O141" i="21"/>
  <c r="O146" i="21"/>
  <c r="O134" i="21"/>
  <c r="O135" i="21" s="1"/>
  <c r="N61" i="23"/>
  <c r="N114" i="23" s="1"/>
  <c r="N61" i="12"/>
  <c r="N114" i="12" s="1"/>
  <c r="O79" i="21"/>
  <c r="O80" i="21" s="1"/>
  <c r="O86" i="21"/>
  <c r="O91" i="21" s="1"/>
  <c r="N159" i="23"/>
  <c r="N184" i="23"/>
  <c r="N191" i="23" s="1"/>
  <c r="N200" i="23"/>
  <c r="N214" i="22"/>
  <c r="N216" i="22" s="1"/>
  <c r="O79" i="22"/>
  <c r="O80" i="22" s="1"/>
  <c r="O86" i="22"/>
  <c r="O91" i="22" s="1"/>
  <c r="N174" i="23"/>
  <c r="N176" i="23" s="1"/>
  <c r="N178" i="23" s="1"/>
  <c r="N23" i="20" s="1"/>
  <c r="O35" i="21"/>
  <c r="O40" i="21"/>
  <c r="O28" i="21"/>
  <c r="O29" i="21" s="1"/>
  <c r="O28" i="12"/>
  <c r="O29" i="12" s="1"/>
  <c r="O40" i="12"/>
  <c r="O35" i="12"/>
  <c r="N214" i="21"/>
  <c r="N216" i="21" s="1"/>
  <c r="O146" i="12"/>
  <c r="O141" i="12"/>
  <c r="O134" i="12"/>
  <c r="O135" i="12" s="1"/>
  <c r="N186" i="23"/>
  <c r="N193" i="23" s="1"/>
  <c r="N108" i="23"/>
  <c r="O40" i="22"/>
  <c r="O35" i="22"/>
  <c r="O28" i="22"/>
  <c r="O29" i="22" s="1"/>
  <c r="N61" i="22"/>
  <c r="N114" i="22" s="1"/>
  <c r="N184" i="21"/>
  <c r="N191" i="21" s="1"/>
  <c r="N159" i="21"/>
  <c r="N61" i="21"/>
  <c r="N114" i="21" s="1"/>
  <c r="N200" i="21"/>
  <c r="O86" i="23"/>
  <c r="O91" i="23" s="1"/>
  <c r="O79" i="23"/>
  <c r="O80" i="23" s="1"/>
  <c r="O40" i="23"/>
  <c r="O35" i="23"/>
  <c r="O28" i="23"/>
  <c r="O29" i="23" s="1"/>
  <c r="N159" i="12"/>
  <c r="N184" i="12"/>
  <c r="N191" i="12" s="1"/>
  <c r="N200" i="12"/>
  <c r="N198" i="12"/>
  <c r="O79" i="12"/>
  <c r="O80" i="12" s="1"/>
  <c r="O86" i="12"/>
  <c r="O91" i="12" s="1"/>
  <c r="N186" i="21"/>
  <c r="N193" i="21" s="1"/>
  <c r="N108" i="21"/>
  <c r="M166" i="23"/>
  <c r="M165" i="23"/>
  <c r="N186" i="12"/>
  <c r="N193" i="12" s="1"/>
  <c r="N201" i="12" s="1"/>
  <c r="N202" i="12" s="1"/>
  <c r="N108" i="12"/>
  <c r="N200" i="22"/>
  <c r="M20" i="20"/>
  <c r="O134" i="22"/>
  <c r="O135" i="22" s="1"/>
  <c r="O141" i="22"/>
  <c r="O146" i="22"/>
  <c r="N174" i="12"/>
  <c r="N176" i="12" s="1"/>
  <c r="N178" i="12" s="1"/>
  <c r="N13" i="20" s="1"/>
  <c r="N186" i="22"/>
  <c r="N193" i="22" s="1"/>
  <c r="N108" i="22"/>
  <c r="O106" i="12" l="1"/>
  <c r="O87" i="12"/>
  <c r="O88" i="12" s="1"/>
  <c r="N160" i="23"/>
  <c r="N115" i="23"/>
  <c r="N116" i="23" s="1"/>
  <c r="N187" i="23"/>
  <c r="N194" i="23" s="1"/>
  <c r="O87" i="21"/>
  <c r="O88" i="21" s="1"/>
  <c r="O106" i="21"/>
  <c r="N187" i="12"/>
  <c r="N194" i="12" s="1"/>
  <c r="N160" i="12"/>
  <c r="N115" i="12"/>
  <c r="N116" i="12" s="1"/>
  <c r="N214" i="12"/>
  <c r="N216" i="12" s="1"/>
  <c r="N201" i="23"/>
  <c r="N202" i="23" s="1"/>
  <c r="O36" i="12"/>
  <c r="O37" i="12" s="1"/>
  <c r="O51" i="12"/>
  <c r="N19" i="20"/>
  <c r="O106" i="23"/>
  <c r="O87" i="23"/>
  <c r="O88" i="23" s="1"/>
  <c r="O51" i="21"/>
  <c r="O36" i="21"/>
  <c r="O37" i="21" s="1"/>
  <c r="O182" i="22"/>
  <c r="O189" i="22" s="1"/>
  <c r="O155" i="22"/>
  <c r="O142" i="22"/>
  <c r="O143" i="22" s="1"/>
  <c r="N204" i="22"/>
  <c r="N204" i="21"/>
  <c r="O142" i="23"/>
  <c r="O143" i="23" s="1"/>
  <c r="O182" i="23"/>
  <c r="O189" i="23" s="1"/>
  <c r="O155" i="23"/>
  <c r="N115" i="21"/>
  <c r="N116" i="21" s="1"/>
  <c r="N187" i="21"/>
  <c r="N194" i="21" s="1"/>
  <c r="N160" i="21"/>
  <c r="N161" i="21" s="1"/>
  <c r="N204" i="23"/>
  <c r="O182" i="21"/>
  <c r="O189" i="21" s="1"/>
  <c r="O155" i="21"/>
  <c r="O142" i="21"/>
  <c r="O143" i="21" s="1"/>
  <c r="N161" i="22"/>
  <c r="N219" i="12"/>
  <c r="N221" i="12" s="1"/>
  <c r="O182" i="12"/>
  <c r="O155" i="12"/>
  <c r="O142" i="12"/>
  <c r="O143" i="12" s="1"/>
  <c r="N201" i="21"/>
  <c r="N202" i="21" s="1"/>
  <c r="N161" i="12"/>
  <c r="N163" i="12" s="1"/>
  <c r="N9" i="20"/>
  <c r="N161" i="23"/>
  <c r="N201" i="22"/>
  <c r="N202" i="22" s="1"/>
  <c r="N204" i="12"/>
  <c r="O51" i="22"/>
  <c r="O36" i="22"/>
  <c r="O37" i="22" s="1"/>
  <c r="N160" i="22"/>
  <c r="N187" i="22"/>
  <c r="N194" i="22" s="1"/>
  <c r="N115" i="22"/>
  <c r="N116" i="22" s="1"/>
  <c r="O51" i="23"/>
  <c r="O36" i="23"/>
  <c r="O37" i="23" s="1"/>
  <c r="O106" i="22"/>
  <c r="O87" i="22"/>
  <c r="O88" i="22" s="1"/>
  <c r="N24" i="20"/>
  <c r="N219" i="22" l="1"/>
  <c r="N221" i="22" s="1"/>
  <c r="N219" i="21"/>
  <c r="N221" i="21" s="1"/>
  <c r="N163" i="22"/>
  <c r="N205" i="21"/>
  <c r="N206" i="21" s="1"/>
  <c r="O185" i="23"/>
  <c r="O192" i="23" s="1"/>
  <c r="N163" i="21"/>
  <c r="O92" i="21"/>
  <c r="O93" i="21" s="1"/>
  <c r="P85" i="21"/>
  <c r="O102" i="21"/>
  <c r="O103" i="21" s="1"/>
  <c r="N164" i="12"/>
  <c r="N165" i="12" s="1"/>
  <c r="O147" i="21"/>
  <c r="O148" i="21" s="1"/>
  <c r="O152" i="21" s="1"/>
  <c r="O153" i="21" s="1"/>
  <c r="P140" i="21"/>
  <c r="N164" i="23"/>
  <c r="N219" i="23"/>
  <c r="N221" i="23" s="1"/>
  <c r="P140" i="22"/>
  <c r="O147" i="22"/>
  <c r="O148" i="22" s="1"/>
  <c r="O152" i="22" s="1"/>
  <c r="O153" i="22" s="1"/>
  <c r="P140" i="12"/>
  <c r="O147" i="12"/>
  <c r="O148" i="12" s="1"/>
  <c r="O152" i="12" s="1"/>
  <c r="O153" i="12" s="1"/>
  <c r="O196" i="23"/>
  <c r="N14" i="20"/>
  <c r="O189" i="12"/>
  <c r="O147" i="23"/>
  <c r="O148" i="23" s="1"/>
  <c r="O152" i="23" s="1"/>
  <c r="O153" i="23" s="1"/>
  <c r="P140" i="23"/>
  <c r="O196" i="22"/>
  <c r="N205" i="22"/>
  <c r="N206" i="22" s="1"/>
  <c r="P85" i="22"/>
  <c r="O92" i="22"/>
  <c r="O93" i="22" s="1"/>
  <c r="O102" i="22"/>
  <c r="O103" i="22" s="1"/>
  <c r="O196" i="21"/>
  <c r="N206" i="23"/>
  <c r="P34" i="21"/>
  <c r="O41" i="21"/>
  <c r="O42" i="21" s="1"/>
  <c r="P34" i="12"/>
  <c r="O41" i="12"/>
  <c r="O42" i="12" s="1"/>
  <c r="O92" i="12"/>
  <c r="O93" i="12" s="1"/>
  <c r="P85" i="12"/>
  <c r="O102" i="12"/>
  <c r="O103" i="12" s="1"/>
  <c r="N163" i="23"/>
  <c r="O185" i="22"/>
  <c r="O192" i="22" s="1"/>
  <c r="N166" i="12"/>
  <c r="N205" i="12"/>
  <c r="N206" i="12" s="1"/>
  <c r="O185" i="12"/>
  <c r="O192" i="12" s="1"/>
  <c r="N164" i="22"/>
  <c r="N205" i="23"/>
  <c r="O41" i="22"/>
  <c r="O42" i="22" s="1"/>
  <c r="P34" i="22"/>
  <c r="N164" i="21"/>
  <c r="O41" i="23"/>
  <c r="O42" i="23" s="1"/>
  <c r="P34" i="23"/>
  <c r="N15" i="20"/>
  <c r="O92" i="23"/>
  <c r="O93" i="23" s="1"/>
  <c r="P85" i="23"/>
  <c r="O102" i="23"/>
  <c r="O103" i="23" s="1"/>
  <c r="O185" i="21"/>
  <c r="O192" i="21" s="1"/>
  <c r="O197" i="12" l="1"/>
  <c r="O169" i="23"/>
  <c r="O172" i="23" s="1"/>
  <c r="O47" i="23"/>
  <c r="O48" i="23" s="1"/>
  <c r="O52" i="23" s="1"/>
  <c r="O53" i="23" s="1"/>
  <c r="O197" i="22"/>
  <c r="O198" i="22" s="1"/>
  <c r="O47" i="21"/>
  <c r="O48" i="21" s="1"/>
  <c r="O52" i="21" s="1"/>
  <c r="O53" i="21" s="1"/>
  <c r="O169" i="21"/>
  <c r="O172" i="21" s="1"/>
  <c r="O197" i="21"/>
  <c r="O198" i="21" s="1"/>
  <c r="P27" i="21"/>
  <c r="P39" i="21" s="1"/>
  <c r="P22" i="21"/>
  <c r="P24" i="21" s="1"/>
  <c r="N25" i="20"/>
  <c r="P90" i="21"/>
  <c r="P78" i="21"/>
  <c r="P73" i="21"/>
  <c r="P75" i="21" s="1"/>
  <c r="P90" i="23"/>
  <c r="P78" i="23"/>
  <c r="P73" i="23"/>
  <c r="P75" i="23" s="1"/>
  <c r="N166" i="22"/>
  <c r="N165" i="22"/>
  <c r="O169" i="22"/>
  <c r="O172" i="22" s="1"/>
  <c r="O47" i="22"/>
  <c r="O48" i="22" s="1"/>
  <c r="O52" i="22" s="1"/>
  <c r="O53" i="22" s="1"/>
  <c r="P90" i="12"/>
  <c r="P73" i="12"/>
  <c r="P75" i="12" s="1"/>
  <c r="P78" i="12"/>
  <c r="P128" i="23"/>
  <c r="P130" i="23" s="1"/>
  <c r="P145" i="23"/>
  <c r="P133" i="23"/>
  <c r="O183" i="12"/>
  <c r="O190" i="12" s="1"/>
  <c r="O156" i="12"/>
  <c r="O157" i="12" s="1"/>
  <c r="P145" i="21"/>
  <c r="P133" i="21"/>
  <c r="P128" i="21"/>
  <c r="P130" i="21" s="1"/>
  <c r="N165" i="21"/>
  <c r="N166" i="21"/>
  <c r="N166" i="23"/>
  <c r="N165" i="23"/>
  <c r="O170" i="12"/>
  <c r="O173" i="12" s="1"/>
  <c r="O98" i="12"/>
  <c r="O99" i="12" s="1"/>
  <c r="O107" i="12" s="1"/>
  <c r="O156" i="23"/>
  <c r="O157" i="23" s="1"/>
  <c r="O183" i="23"/>
  <c r="O190" i="23" s="1"/>
  <c r="P145" i="12"/>
  <c r="P133" i="12"/>
  <c r="P128" i="12"/>
  <c r="P130" i="12" s="1"/>
  <c r="O183" i="21"/>
  <c r="O190" i="21" s="1"/>
  <c r="O156" i="21"/>
  <c r="O157" i="21" s="1"/>
  <c r="N10" i="20"/>
  <c r="O47" i="12"/>
  <c r="O48" i="12" s="1"/>
  <c r="O52" i="12" s="1"/>
  <c r="O53" i="12" s="1"/>
  <c r="O169" i="12"/>
  <c r="O172" i="12" s="1"/>
  <c r="O170" i="22"/>
  <c r="O173" i="22" s="1"/>
  <c r="O98" i="22"/>
  <c r="O99" i="22" s="1"/>
  <c r="O107" i="22" s="1"/>
  <c r="O183" i="22"/>
  <c r="O190" i="22" s="1"/>
  <c r="O156" i="22"/>
  <c r="O157" i="22" s="1"/>
  <c r="O197" i="23"/>
  <c r="O198" i="23" s="1"/>
  <c r="O98" i="21"/>
  <c r="O99" i="21" s="1"/>
  <c r="O107" i="21" s="1"/>
  <c r="O170" i="21"/>
  <c r="O173" i="21" s="1"/>
  <c r="O98" i="23"/>
  <c r="O99" i="23" s="1"/>
  <c r="O107" i="23" s="1"/>
  <c r="O170" i="23"/>
  <c r="O173" i="23" s="1"/>
  <c r="P22" i="22"/>
  <c r="P24" i="22" s="1"/>
  <c r="P27" i="22"/>
  <c r="P39" i="22" s="1"/>
  <c r="P27" i="23"/>
  <c r="P39" i="23" s="1"/>
  <c r="P22" i="23"/>
  <c r="P24" i="23" s="1"/>
  <c r="P27" i="12"/>
  <c r="P39" i="12" s="1"/>
  <c r="P22" i="12"/>
  <c r="P24" i="12" s="1"/>
  <c r="P78" i="22"/>
  <c r="P90" i="22"/>
  <c r="P73" i="22"/>
  <c r="P75" i="22" s="1"/>
  <c r="O196" i="12"/>
  <c r="P145" i="22"/>
  <c r="P128" i="22"/>
  <c r="P130" i="22" s="1"/>
  <c r="P133" i="22"/>
  <c r="N20" i="20"/>
  <c r="O174" i="12" l="1"/>
  <c r="O176" i="12" s="1"/>
  <c r="O178" i="12" s="1"/>
  <c r="O13" i="20" s="1"/>
  <c r="O174" i="21"/>
  <c r="O176" i="21" s="1"/>
  <c r="O178" i="21" s="1"/>
  <c r="O8" i="20" s="1"/>
  <c r="P141" i="23"/>
  <c r="P134" i="23"/>
  <c r="P135" i="23" s="1"/>
  <c r="P146" i="23"/>
  <c r="O61" i="21"/>
  <c r="O114" i="21" s="1"/>
  <c r="P141" i="22"/>
  <c r="P134" i="22"/>
  <c r="P135" i="22" s="1"/>
  <c r="P146" i="22"/>
  <c r="O200" i="23"/>
  <c r="P134" i="21"/>
  <c r="P135" i="21" s="1"/>
  <c r="P146" i="21"/>
  <c r="P141" i="21"/>
  <c r="O214" i="21"/>
  <c r="O216" i="21" s="1"/>
  <c r="O214" i="23"/>
  <c r="O216" i="23" s="1"/>
  <c r="P40" i="23"/>
  <c r="P35" i="23"/>
  <c r="P28" i="23"/>
  <c r="P29" i="23" s="1"/>
  <c r="O159" i="23"/>
  <c r="O184" i="23"/>
  <c r="O191" i="23" s="1"/>
  <c r="O214" i="22"/>
  <c r="O216" i="22" s="1"/>
  <c r="O186" i="21"/>
  <c r="O193" i="21" s="1"/>
  <c r="O108" i="21"/>
  <c r="O186" i="12"/>
  <c r="O193" i="12" s="1"/>
  <c r="O201" i="12" s="1"/>
  <c r="O108" i="12"/>
  <c r="P79" i="12"/>
  <c r="P80" i="12" s="1"/>
  <c r="P86" i="12"/>
  <c r="P91" i="12" s="1"/>
  <c r="P86" i="23"/>
  <c r="P91" i="23" s="1"/>
  <c r="P79" i="23"/>
  <c r="P80" i="23" s="1"/>
  <c r="P35" i="21"/>
  <c r="P28" i="21"/>
  <c r="P29" i="21" s="1"/>
  <c r="P40" i="21"/>
  <c r="O61" i="23"/>
  <c r="O114" i="23" s="1"/>
  <c r="O186" i="23"/>
  <c r="O193" i="23" s="1"/>
  <c r="O108" i="23"/>
  <c r="P35" i="12"/>
  <c r="P40" i="12"/>
  <c r="P28" i="12"/>
  <c r="P29" i="12" s="1"/>
  <c r="O184" i="22"/>
  <c r="O191" i="22" s="1"/>
  <c r="O159" i="22"/>
  <c r="O159" i="21"/>
  <c r="O184" i="21"/>
  <c r="O191" i="21" s="1"/>
  <c r="O159" i="12"/>
  <c r="O184" i="12"/>
  <c r="O191" i="12" s="1"/>
  <c r="O174" i="23"/>
  <c r="O176" i="23" s="1"/>
  <c r="O178" i="23" s="1"/>
  <c r="O23" i="20" s="1"/>
  <c r="O61" i="12"/>
  <c r="O114" i="12" s="1"/>
  <c r="O200" i="12"/>
  <c r="O61" i="22"/>
  <c r="O114" i="22" s="1"/>
  <c r="P86" i="22"/>
  <c r="P91" i="22" s="1"/>
  <c r="P79" i="22"/>
  <c r="P80" i="22" s="1"/>
  <c r="P40" i="22"/>
  <c r="P35" i="22"/>
  <c r="P28" i="22"/>
  <c r="P29" i="22" s="1"/>
  <c r="O200" i="22"/>
  <c r="O200" i="21"/>
  <c r="O186" i="22"/>
  <c r="O193" i="22" s="1"/>
  <c r="O108" i="22"/>
  <c r="P134" i="12"/>
  <c r="P135" i="12" s="1"/>
  <c r="P146" i="12"/>
  <c r="P141" i="12"/>
  <c r="O174" i="22"/>
  <c r="O176" i="22" s="1"/>
  <c r="O178" i="22" s="1"/>
  <c r="O18" i="20" s="1"/>
  <c r="P79" i="21"/>
  <c r="P80" i="21" s="1"/>
  <c r="P86" i="21"/>
  <c r="P91" i="21" s="1"/>
  <c r="O198" i="12"/>
  <c r="O202" i="12" l="1"/>
  <c r="P182" i="12"/>
  <c r="P142" i="12"/>
  <c r="P143" i="12" s="1"/>
  <c r="P155" i="12"/>
  <c r="O201" i="23"/>
  <c r="O202" i="23" s="1"/>
  <c r="P155" i="22"/>
  <c r="P182" i="22"/>
  <c r="P189" i="22" s="1"/>
  <c r="P142" i="22"/>
  <c r="P143" i="22" s="1"/>
  <c r="O204" i="21"/>
  <c r="O115" i="22"/>
  <c r="O116" i="22" s="1"/>
  <c r="O187" i="22"/>
  <c r="O194" i="22" s="1"/>
  <c r="O160" i="22"/>
  <c r="O161" i="22" s="1"/>
  <c r="P87" i="12"/>
  <c r="P88" i="12" s="1"/>
  <c r="P106" i="12"/>
  <c r="O204" i="23"/>
  <c r="O9" i="20"/>
  <c r="O214" i="12"/>
  <c r="O216" i="12" s="1"/>
  <c r="O187" i="12"/>
  <c r="O194" i="12" s="1"/>
  <c r="O160" i="12"/>
  <c r="O161" i="12" s="1"/>
  <c r="O163" i="12" s="1"/>
  <c r="O115" i="12"/>
  <c r="O116" i="12" s="1"/>
  <c r="O219" i="12"/>
  <c r="O221" i="12" s="1"/>
  <c r="O187" i="23"/>
  <c r="O194" i="23" s="1"/>
  <c r="O160" i="23"/>
  <c r="O161" i="23" s="1"/>
  <c r="O115" i="23"/>
  <c r="O116" i="23" s="1"/>
  <c r="O204" i="22"/>
  <c r="P51" i="23"/>
  <c r="P36" i="23"/>
  <c r="P37" i="23" s="1"/>
  <c r="O116" i="21"/>
  <c r="P36" i="22"/>
  <c r="P37" i="22" s="1"/>
  <c r="P51" i="22"/>
  <c r="P106" i="22"/>
  <c r="P87" i="22"/>
  <c r="P88" i="22" s="1"/>
  <c r="P106" i="21"/>
  <c r="P87" i="21"/>
  <c r="P88" i="21" s="1"/>
  <c r="O204" i="12"/>
  <c r="P51" i="12"/>
  <c r="P36" i="12"/>
  <c r="P37" i="12" s="1"/>
  <c r="P51" i="21"/>
  <c r="P36" i="21"/>
  <c r="P37" i="21" s="1"/>
  <c r="O160" i="21"/>
  <c r="O161" i="21" s="1"/>
  <c r="O115" i="21"/>
  <c r="O187" i="21"/>
  <c r="O194" i="21" s="1"/>
  <c r="P182" i="21"/>
  <c r="P189" i="21" s="1"/>
  <c r="P142" i="21"/>
  <c r="P143" i="21" s="1"/>
  <c r="P155" i="21"/>
  <c r="O24" i="20"/>
  <c r="O201" i="22"/>
  <c r="O202" i="22" s="1"/>
  <c r="O201" i="21"/>
  <c r="O202" i="21" s="1"/>
  <c r="P142" i="23"/>
  <c r="P143" i="23" s="1"/>
  <c r="P155" i="23"/>
  <c r="P182" i="23"/>
  <c r="P189" i="23" s="1"/>
  <c r="O19" i="20"/>
  <c r="P106" i="23"/>
  <c r="P87" i="23"/>
  <c r="P88" i="23" s="1"/>
  <c r="O163" i="21" l="1"/>
  <c r="O219" i="22"/>
  <c r="O221" i="22" s="1"/>
  <c r="Q85" i="21"/>
  <c r="P102" i="21"/>
  <c r="P103" i="21" s="1"/>
  <c r="P92" i="21"/>
  <c r="P93" i="21" s="1"/>
  <c r="P41" i="23"/>
  <c r="P42" i="23" s="1"/>
  <c r="Q34" i="23"/>
  <c r="O205" i="21"/>
  <c r="O206" i="21" s="1"/>
  <c r="P196" i="23"/>
  <c r="P185" i="21"/>
  <c r="P192" i="21" s="1"/>
  <c r="O15" i="20"/>
  <c r="O14" i="20"/>
  <c r="P102" i="12"/>
  <c r="P103" i="12" s="1"/>
  <c r="P92" i="12"/>
  <c r="P93" i="12" s="1"/>
  <c r="Q85" i="12"/>
  <c r="O163" i="23"/>
  <c r="O205" i="22"/>
  <c r="O206" i="22" s="1"/>
  <c r="O219" i="23"/>
  <c r="O221" i="23" s="1"/>
  <c r="O205" i="23"/>
  <c r="Q140" i="23"/>
  <c r="P147" i="23"/>
  <c r="P148" i="23" s="1"/>
  <c r="P152" i="23" s="1"/>
  <c r="P153" i="23" s="1"/>
  <c r="P185" i="22"/>
  <c r="P192" i="22" s="1"/>
  <c r="O164" i="22"/>
  <c r="O164" i="21"/>
  <c r="O165" i="21" s="1"/>
  <c r="P41" i="21"/>
  <c r="P42" i="21" s="1"/>
  <c r="Q34" i="21"/>
  <c r="P147" i="21"/>
  <c r="P148" i="21" s="1"/>
  <c r="P152" i="21" s="1"/>
  <c r="P153" i="21" s="1"/>
  <c r="Q140" i="21"/>
  <c r="Q34" i="12"/>
  <c r="P41" i="12"/>
  <c r="P42" i="12" s="1"/>
  <c r="O164" i="12"/>
  <c r="O166" i="12" s="1"/>
  <c r="P189" i="12"/>
  <c r="O163" i="22"/>
  <c r="Q85" i="22"/>
  <c r="P102" i="22"/>
  <c r="P103" i="22" s="1"/>
  <c r="P92" i="22"/>
  <c r="P93" i="22" s="1"/>
  <c r="O219" i="21"/>
  <c r="O221" i="21" s="1"/>
  <c r="P196" i="21"/>
  <c r="O164" i="23"/>
  <c r="O206" i="23"/>
  <c r="P147" i="12"/>
  <c r="P148" i="12" s="1"/>
  <c r="P152" i="12" s="1"/>
  <c r="P153" i="12" s="1"/>
  <c r="Q140" i="12"/>
  <c r="P196" i="22"/>
  <c r="Q85" i="23"/>
  <c r="P92" i="23"/>
  <c r="P93" i="23" s="1"/>
  <c r="P102" i="23"/>
  <c r="P103" i="23" s="1"/>
  <c r="P185" i="23"/>
  <c r="P192" i="23" s="1"/>
  <c r="O165" i="12"/>
  <c r="Q34" i="22"/>
  <c r="P41" i="22"/>
  <c r="P42" i="22" s="1"/>
  <c r="O205" i="12"/>
  <c r="O206" i="12" s="1"/>
  <c r="P185" i="12"/>
  <c r="P192" i="12" s="1"/>
  <c r="P147" i="22"/>
  <c r="P148" i="22" s="1"/>
  <c r="P152" i="22" s="1"/>
  <c r="P153" i="22" s="1"/>
  <c r="Q140" i="22"/>
  <c r="Q133" i="12" l="1"/>
  <c r="Q145" i="12"/>
  <c r="Q128" i="12"/>
  <c r="Q130" i="12" s="1"/>
  <c r="Q145" i="23"/>
  <c r="Q128" i="23"/>
  <c r="Q130" i="23" s="1"/>
  <c r="Q133" i="23"/>
  <c r="P183" i="12"/>
  <c r="P190" i="12" s="1"/>
  <c r="P156" i="12"/>
  <c r="P157" i="12" s="1"/>
  <c r="O10" i="20"/>
  <c r="Q90" i="12"/>
  <c r="Q73" i="12"/>
  <c r="Q75" i="12" s="1"/>
  <c r="Q78" i="12"/>
  <c r="P197" i="21"/>
  <c r="P198" i="21" s="1"/>
  <c r="P169" i="21"/>
  <c r="P172" i="21" s="1"/>
  <c r="P47" i="21"/>
  <c r="P48" i="21" s="1"/>
  <c r="P52" i="21" s="1"/>
  <c r="P53" i="21" s="1"/>
  <c r="P197" i="23"/>
  <c r="P198" i="23" s="1"/>
  <c r="P98" i="12"/>
  <c r="P99" i="12" s="1"/>
  <c r="P107" i="12" s="1"/>
  <c r="P170" i="12"/>
  <c r="P173" i="12" s="1"/>
  <c r="Q90" i="21"/>
  <c r="Q78" i="21"/>
  <c r="Q73" i="21"/>
  <c r="Q75" i="21" s="1"/>
  <c r="P196" i="12"/>
  <c r="P169" i="12"/>
  <c r="P172" i="12" s="1"/>
  <c r="P174" i="12" s="1"/>
  <c r="P176" i="12" s="1"/>
  <c r="P178" i="12" s="1"/>
  <c r="P13" i="20" s="1"/>
  <c r="P47" i="12"/>
  <c r="P48" i="12" s="1"/>
  <c r="P52" i="12" s="1"/>
  <c r="P53" i="12" s="1"/>
  <c r="P170" i="23"/>
  <c r="P173" i="23" s="1"/>
  <c r="P98" i="23"/>
  <c r="P99" i="23" s="1"/>
  <c r="P107" i="23" s="1"/>
  <c r="Q73" i="22"/>
  <c r="Q75" i="22" s="1"/>
  <c r="Q90" i="22"/>
  <c r="Q78" i="22"/>
  <c r="Q22" i="12"/>
  <c r="Q24" i="12" s="1"/>
  <c r="Q27" i="12"/>
  <c r="Q39" i="12" s="1"/>
  <c r="O25" i="20"/>
  <c r="O20" i="20"/>
  <c r="P183" i="22"/>
  <c r="P190" i="22" s="1"/>
  <c r="P156" i="22"/>
  <c r="P157" i="22" s="1"/>
  <c r="P170" i="22"/>
  <c r="P173" i="22" s="1"/>
  <c r="P98" i="22"/>
  <c r="P99" i="22" s="1"/>
  <c r="P107" i="22" s="1"/>
  <c r="Q78" i="23"/>
  <c r="Q73" i="23"/>
  <c r="Q75" i="23" s="1"/>
  <c r="Q90" i="23"/>
  <c r="Q128" i="21"/>
  <c r="Q130" i="21" s="1"/>
  <c r="Q133" i="21"/>
  <c r="Q145" i="21"/>
  <c r="Q128" i="22"/>
  <c r="Q130" i="22" s="1"/>
  <c r="Q145" i="22"/>
  <c r="Q133" i="22"/>
  <c r="P98" i="21"/>
  <c r="P99" i="21" s="1"/>
  <c r="P107" i="21" s="1"/>
  <c r="P170" i="21"/>
  <c r="P173" i="21" s="1"/>
  <c r="P169" i="22"/>
  <c r="P172" i="22" s="1"/>
  <c r="P47" i="22"/>
  <c r="P48" i="22" s="1"/>
  <c r="P52" i="22" s="1"/>
  <c r="P53" i="22" s="1"/>
  <c r="O165" i="22"/>
  <c r="O166" i="22"/>
  <c r="P183" i="21"/>
  <c r="P190" i="21" s="1"/>
  <c r="P156" i="21"/>
  <c r="P157" i="21" s="1"/>
  <c r="P197" i="22"/>
  <c r="P198" i="22" s="1"/>
  <c r="Q27" i="23"/>
  <c r="Q39" i="23" s="1"/>
  <c r="Q22" i="23"/>
  <c r="Q24" i="23" s="1"/>
  <c r="O165" i="23"/>
  <c r="O166" i="23"/>
  <c r="P197" i="12"/>
  <c r="Q22" i="22"/>
  <c r="Q24" i="22" s="1"/>
  <c r="Q27" i="22"/>
  <c r="Q39" i="22" s="1"/>
  <c r="Q22" i="21"/>
  <c r="Q24" i="21" s="1"/>
  <c r="Q27" i="21"/>
  <c r="Q39" i="21" s="1"/>
  <c r="P183" i="23"/>
  <c r="P190" i="23" s="1"/>
  <c r="P156" i="23"/>
  <c r="P157" i="23" s="1"/>
  <c r="P169" i="23"/>
  <c r="P172" i="23" s="1"/>
  <c r="P174" i="23" s="1"/>
  <c r="P176" i="23" s="1"/>
  <c r="P178" i="23" s="1"/>
  <c r="P23" i="20" s="1"/>
  <c r="P47" i="23"/>
  <c r="P48" i="23" s="1"/>
  <c r="P52" i="23" s="1"/>
  <c r="P53" i="23" s="1"/>
  <c r="O166" i="21"/>
  <c r="P198" i="12" l="1"/>
  <c r="P214" i="12" s="1"/>
  <c r="P216" i="12" s="1"/>
  <c r="P174" i="22"/>
  <c r="P176" i="22" s="1"/>
  <c r="P178" i="22" s="1"/>
  <c r="P18" i="20" s="1"/>
  <c r="P214" i="21"/>
  <c r="P216" i="21" s="1"/>
  <c r="Q146" i="21"/>
  <c r="Q134" i="21"/>
  <c r="Q135" i="21" s="1"/>
  <c r="Q141" i="21"/>
  <c r="Q79" i="22"/>
  <c r="Q80" i="22" s="1"/>
  <c r="Q86" i="22"/>
  <c r="Q91" i="22" s="1"/>
  <c r="Q79" i="21"/>
  <c r="Q80" i="21" s="1"/>
  <c r="Q86" i="21"/>
  <c r="Q91" i="21" s="1"/>
  <c r="P174" i="21"/>
  <c r="P176" i="21" s="1"/>
  <c r="P178" i="21" s="1"/>
  <c r="P8" i="20" s="1"/>
  <c r="P159" i="12"/>
  <c r="P184" i="12"/>
  <c r="P191" i="12" s="1"/>
  <c r="P186" i="23"/>
  <c r="P193" i="23" s="1"/>
  <c r="P108" i="23"/>
  <c r="P200" i="12"/>
  <c r="P214" i="22"/>
  <c r="P216" i="22" s="1"/>
  <c r="Q35" i="22"/>
  <c r="Q40" i="22"/>
  <c r="Q28" i="22"/>
  <c r="Q29" i="22" s="1"/>
  <c r="P159" i="21"/>
  <c r="P184" i="21"/>
  <c r="P191" i="21" s="1"/>
  <c r="P214" i="23"/>
  <c r="P216" i="23" s="1"/>
  <c r="Q146" i="23"/>
  <c r="Q141" i="23"/>
  <c r="Q134" i="23"/>
  <c r="Q135" i="23" s="1"/>
  <c r="P200" i="21"/>
  <c r="P186" i="22"/>
  <c r="P193" i="22" s="1"/>
  <c r="P108" i="22"/>
  <c r="P61" i="12"/>
  <c r="P114" i="12" s="1"/>
  <c r="P186" i="12"/>
  <c r="P193" i="12" s="1"/>
  <c r="P201" i="12" s="1"/>
  <c r="P108" i="12"/>
  <c r="Q86" i="12"/>
  <c r="Q91" i="12" s="1"/>
  <c r="Q79" i="12"/>
  <c r="Q80" i="12" s="1"/>
  <c r="Q79" i="23"/>
  <c r="Q80" i="23" s="1"/>
  <c r="Q86" i="23"/>
  <c r="Q91" i="23" s="1"/>
  <c r="Q141" i="12"/>
  <c r="Q134" i="12"/>
  <c r="Q135" i="12" s="1"/>
  <c r="Q146" i="12"/>
  <c r="P61" i="23"/>
  <c r="P114" i="23" s="1"/>
  <c r="P186" i="21"/>
  <c r="P193" i="21" s="1"/>
  <c r="P108" i="21"/>
  <c r="P159" i="23"/>
  <c r="P184" i="23"/>
  <c r="P191" i="23" s="1"/>
  <c r="Q35" i="12"/>
  <c r="Q28" i="12"/>
  <c r="Q29" i="12" s="1"/>
  <c r="Q40" i="12"/>
  <c r="Q40" i="21"/>
  <c r="Q28" i="21"/>
  <c r="Q29" i="21" s="1"/>
  <c r="Q35" i="21"/>
  <c r="P184" i="22"/>
  <c r="P191" i="22" s="1"/>
  <c r="P159" i="22"/>
  <c r="P200" i="23"/>
  <c r="Q146" i="22"/>
  <c r="Q141" i="22"/>
  <c r="Q134" i="22"/>
  <c r="Q135" i="22" s="1"/>
  <c r="Q28" i="23"/>
  <c r="Q29" i="23" s="1"/>
  <c r="Q35" i="23"/>
  <c r="Q40" i="23"/>
  <c r="P61" i="22"/>
  <c r="P114" i="22" s="1"/>
  <c r="P200" i="22"/>
  <c r="P61" i="21"/>
  <c r="P114" i="21" s="1"/>
  <c r="P202" i="12" l="1"/>
  <c r="P187" i="12"/>
  <c r="P194" i="12" s="1"/>
  <c r="P160" i="12"/>
  <c r="P115" i="12"/>
  <c r="P204" i="21"/>
  <c r="Q87" i="21"/>
  <c r="Q88" i="21" s="1"/>
  <c r="Q106" i="21"/>
  <c r="P160" i="23"/>
  <c r="P161" i="23" s="1"/>
  <c r="P187" i="23"/>
  <c r="P194" i="23" s="1"/>
  <c r="P115" i="23"/>
  <c r="P116" i="23" s="1"/>
  <c r="Q36" i="22"/>
  <c r="Q37" i="22" s="1"/>
  <c r="Q51" i="22"/>
  <c r="Q142" i="22"/>
  <c r="Q143" i="22" s="1"/>
  <c r="Q182" i="22"/>
  <c r="Q189" i="22" s="1"/>
  <c r="Q155" i="22"/>
  <c r="P116" i="12"/>
  <c r="P219" i="12"/>
  <c r="P221" i="12" s="1"/>
  <c r="P187" i="21"/>
  <c r="P194" i="21" s="1"/>
  <c r="P160" i="21"/>
  <c r="P161" i="21" s="1"/>
  <c r="P115" i="21"/>
  <c r="P116" i="21" s="1"/>
  <c r="P204" i="12"/>
  <c r="Q142" i="21"/>
  <c r="Q143" i="21" s="1"/>
  <c r="Q155" i="21"/>
  <c r="Q182" i="21"/>
  <c r="Q189" i="21" s="1"/>
  <c r="P204" i="23"/>
  <c r="Q106" i="22"/>
  <c r="Q87" i="22"/>
  <c r="Q88" i="22" s="1"/>
  <c r="P201" i="21"/>
  <c r="P202" i="21" s="1"/>
  <c r="Q106" i="23"/>
  <c r="Q87" i="23"/>
  <c r="Q88" i="23" s="1"/>
  <c r="P201" i="22"/>
  <c r="P202" i="22" s="1"/>
  <c r="P161" i="12"/>
  <c r="P163" i="12" s="1"/>
  <c r="Q182" i="12"/>
  <c r="Q142" i="12"/>
  <c r="Q143" i="12" s="1"/>
  <c r="Q155" i="12"/>
  <c r="P204" i="22"/>
  <c r="P201" i="23"/>
  <c r="P202" i="23" s="1"/>
  <c r="Q87" i="12"/>
  <c r="Q88" i="12" s="1"/>
  <c r="Q106" i="12"/>
  <c r="P24" i="20"/>
  <c r="P19" i="20"/>
  <c r="P14" i="20"/>
  <c r="Q51" i="23"/>
  <c r="Q36" i="23"/>
  <c r="Q37" i="23" s="1"/>
  <c r="Q182" i="23"/>
  <c r="Q189" i="23" s="1"/>
  <c r="Q142" i="23"/>
  <c r="Q143" i="23" s="1"/>
  <c r="Q155" i="23"/>
  <c r="Q36" i="21"/>
  <c r="Q37" i="21" s="1"/>
  <c r="Q51" i="21"/>
  <c r="P160" i="22"/>
  <c r="P161" i="22" s="1"/>
  <c r="P187" i="22"/>
  <c r="P194" i="22" s="1"/>
  <c r="P115" i="22"/>
  <c r="P116" i="22" s="1"/>
  <c r="Q51" i="12"/>
  <c r="Q36" i="12"/>
  <c r="Q37" i="12" s="1"/>
  <c r="P9" i="20"/>
  <c r="P163" i="22" l="1"/>
  <c r="P163" i="21"/>
  <c r="R34" i="21"/>
  <c r="Q41" i="21"/>
  <c r="Q42" i="21" s="1"/>
  <c r="Q92" i="23"/>
  <c r="Q93" i="23" s="1"/>
  <c r="Q102" i="23"/>
  <c r="Q103" i="23" s="1"/>
  <c r="R85" i="23"/>
  <c r="Q196" i="21"/>
  <c r="P205" i="21"/>
  <c r="P206" i="21" s="1"/>
  <c r="Q185" i="21"/>
  <c r="Q192" i="21" s="1"/>
  <c r="Q185" i="23"/>
  <c r="Q192" i="23" s="1"/>
  <c r="R34" i="22"/>
  <c r="Q41" i="22"/>
  <c r="Q42" i="22" s="1"/>
  <c r="Q92" i="21"/>
  <c r="Q93" i="21" s="1"/>
  <c r="R85" i="21"/>
  <c r="Q102" i="21"/>
  <c r="Q103" i="21" s="1"/>
  <c r="P219" i="23"/>
  <c r="P221" i="23" s="1"/>
  <c r="Q196" i="23"/>
  <c r="Q147" i="12"/>
  <c r="Q148" i="12" s="1"/>
  <c r="Q152" i="12" s="1"/>
  <c r="Q153" i="12" s="1"/>
  <c r="R140" i="12"/>
  <c r="P164" i="12"/>
  <c r="P166" i="12" s="1"/>
  <c r="P164" i="23"/>
  <c r="P219" i="22"/>
  <c r="P221" i="22" s="1"/>
  <c r="Q147" i="21"/>
  <c r="Q148" i="21" s="1"/>
  <c r="Q152" i="21" s="1"/>
  <c r="Q153" i="21" s="1"/>
  <c r="R140" i="21"/>
  <c r="Q41" i="23"/>
  <c r="Q42" i="23" s="1"/>
  <c r="R34" i="23"/>
  <c r="Q185" i="12"/>
  <c r="Q192" i="12" s="1"/>
  <c r="R85" i="22"/>
  <c r="Q102" i="22"/>
  <c r="Q103" i="22" s="1"/>
  <c r="Q92" i="22"/>
  <c r="Q93" i="22" s="1"/>
  <c r="P163" i="23"/>
  <c r="P166" i="23" s="1"/>
  <c r="P205" i="23"/>
  <c r="P15" i="20"/>
  <c r="P205" i="22"/>
  <c r="P206" i="22" s="1"/>
  <c r="Q102" i="12"/>
  <c r="Q103" i="12" s="1"/>
  <c r="R85" i="12"/>
  <c r="Q92" i="12"/>
  <c r="Q93" i="12" s="1"/>
  <c r="Q185" i="22"/>
  <c r="Q192" i="22" s="1"/>
  <c r="Q189" i="12"/>
  <c r="P164" i="22"/>
  <c r="P164" i="21"/>
  <c r="P166" i="21" s="1"/>
  <c r="Q196" i="22"/>
  <c r="R140" i="23"/>
  <c r="Q147" i="23"/>
  <c r="Q148" i="23" s="1"/>
  <c r="Q152" i="23" s="1"/>
  <c r="Q153" i="23" s="1"/>
  <c r="P219" i="21"/>
  <c r="P221" i="21" s="1"/>
  <c r="Q41" i="12"/>
  <c r="Q42" i="12" s="1"/>
  <c r="R34" i="12"/>
  <c r="P206" i="23"/>
  <c r="R140" i="22"/>
  <c r="Q147" i="22"/>
  <c r="Q148" i="22" s="1"/>
  <c r="Q152" i="22" s="1"/>
  <c r="Q153" i="22" s="1"/>
  <c r="P205" i="12"/>
  <c r="P206" i="12" s="1"/>
  <c r="R73" i="12" l="1"/>
  <c r="R90" i="12"/>
  <c r="R78" i="12"/>
  <c r="R27" i="23"/>
  <c r="R39" i="23" s="1"/>
  <c r="R22" i="23"/>
  <c r="R24" i="23" s="1"/>
  <c r="P165" i="23"/>
  <c r="P25" i="20"/>
  <c r="P10" i="20"/>
  <c r="Q169" i="23"/>
  <c r="Q172" i="23" s="1"/>
  <c r="Q47" i="23"/>
  <c r="Q48" i="23" s="1"/>
  <c r="Q52" i="23" s="1"/>
  <c r="Q53" i="23" s="1"/>
  <c r="Q98" i="23"/>
  <c r="Q99" i="23" s="1"/>
  <c r="Q107" i="23" s="1"/>
  <c r="Q170" i="23"/>
  <c r="Q173" i="23" s="1"/>
  <c r="R90" i="21"/>
  <c r="R73" i="21"/>
  <c r="R78" i="21"/>
  <c r="Q98" i="22"/>
  <c r="Q99" i="22" s="1"/>
  <c r="Q107" i="22" s="1"/>
  <c r="Q170" i="22"/>
  <c r="Q173" i="22" s="1"/>
  <c r="Q183" i="21"/>
  <c r="Q190" i="21" s="1"/>
  <c r="Q156" i="21"/>
  <c r="Q157" i="21" s="1"/>
  <c r="R145" i="12"/>
  <c r="R133" i="12"/>
  <c r="R128" i="12"/>
  <c r="R130" i="12" s="1"/>
  <c r="Q170" i="21"/>
  <c r="Q173" i="21" s="1"/>
  <c r="Q98" i="21"/>
  <c r="Q99" i="21" s="1"/>
  <c r="Q107" i="21" s="1"/>
  <c r="R22" i="21"/>
  <c r="R24" i="21" s="1"/>
  <c r="R27" i="21"/>
  <c r="R39" i="21" s="1"/>
  <c r="Q183" i="12"/>
  <c r="Q190" i="12" s="1"/>
  <c r="Q156" i="12"/>
  <c r="Q157" i="12" s="1"/>
  <c r="Q47" i="22"/>
  <c r="Q48" i="22" s="1"/>
  <c r="Q52" i="22" s="1"/>
  <c r="Q53" i="22" s="1"/>
  <c r="Q169" i="22"/>
  <c r="Q172" i="22" s="1"/>
  <c r="Q174" i="22" s="1"/>
  <c r="Q176" i="22" s="1"/>
  <c r="Q178" i="22" s="1"/>
  <c r="Q18" i="20" s="1"/>
  <c r="Q197" i="21"/>
  <c r="Q198" i="21" s="1"/>
  <c r="P165" i="21"/>
  <c r="Q183" i="23"/>
  <c r="Q190" i="23" s="1"/>
  <c r="Q156" i="23"/>
  <c r="Q157" i="23" s="1"/>
  <c r="R145" i="21"/>
  <c r="R133" i="21"/>
  <c r="R128" i="21"/>
  <c r="R130" i="21" s="1"/>
  <c r="Q183" i="22"/>
  <c r="Q190" i="22" s="1"/>
  <c r="Q156" i="22"/>
  <c r="Q157" i="22" s="1"/>
  <c r="R145" i="23"/>
  <c r="R128" i="23"/>
  <c r="R130" i="23" s="1"/>
  <c r="R133" i="23"/>
  <c r="R133" i="22"/>
  <c r="R128" i="22"/>
  <c r="R130" i="22" s="1"/>
  <c r="R145" i="22"/>
  <c r="Q197" i="22"/>
  <c r="Q198" i="22" s="1"/>
  <c r="R90" i="22"/>
  <c r="R73" i="22"/>
  <c r="R78" i="22"/>
  <c r="P20" i="20"/>
  <c r="R27" i="22"/>
  <c r="R39" i="22" s="1"/>
  <c r="R22" i="22"/>
  <c r="R24" i="22" s="1"/>
  <c r="R27" i="12"/>
  <c r="R39" i="12" s="1"/>
  <c r="R22" i="12"/>
  <c r="R24" i="12" s="1"/>
  <c r="P165" i="12"/>
  <c r="Q198" i="23"/>
  <c r="Q169" i="21"/>
  <c r="Q172" i="21" s="1"/>
  <c r="Q47" i="21"/>
  <c r="Q48" i="21" s="1"/>
  <c r="Q52" i="21" s="1"/>
  <c r="Q53" i="21" s="1"/>
  <c r="Q196" i="12"/>
  <c r="Q47" i="12"/>
  <c r="Q48" i="12" s="1"/>
  <c r="Q52" i="12" s="1"/>
  <c r="Q53" i="12" s="1"/>
  <c r="Q169" i="12"/>
  <c r="Q172" i="12" s="1"/>
  <c r="Q170" i="12"/>
  <c r="Q173" i="12" s="1"/>
  <c r="Q98" i="12"/>
  <c r="Q99" i="12" s="1"/>
  <c r="Q107" i="12" s="1"/>
  <c r="Q197" i="12"/>
  <c r="Q197" i="23"/>
  <c r="R90" i="23"/>
  <c r="R78" i="23"/>
  <c r="R73" i="23"/>
  <c r="P166" i="22"/>
  <c r="P165" i="22"/>
  <c r="Q198" i="12" l="1"/>
  <c r="Q174" i="21"/>
  <c r="Q176" i="21" s="1"/>
  <c r="Q178" i="21" s="1"/>
  <c r="Q8" i="20" s="1"/>
  <c r="Q61" i="21"/>
  <c r="Q114" i="21" s="1"/>
  <c r="R146" i="21"/>
  <c r="R141" i="21"/>
  <c r="R134" i="21"/>
  <c r="R135" i="21" s="1"/>
  <c r="R141" i="12"/>
  <c r="R134" i="12"/>
  <c r="R135" i="12" s="1"/>
  <c r="R146" i="12"/>
  <c r="R141" i="22"/>
  <c r="R134" i="22"/>
  <c r="R135" i="22" s="1"/>
  <c r="R146" i="22"/>
  <c r="Q61" i="22"/>
  <c r="Q114" i="22" s="1"/>
  <c r="Q214" i="12"/>
  <c r="Q216" i="12" s="1"/>
  <c r="Q174" i="12"/>
  <c r="Q176" i="12" s="1"/>
  <c r="Q178" i="12" s="1"/>
  <c r="Q13" i="20" s="1"/>
  <c r="Q214" i="23"/>
  <c r="Q216" i="23" s="1"/>
  <c r="Q184" i="23"/>
  <c r="Q191" i="23" s="1"/>
  <c r="Q159" i="23"/>
  <c r="Q200" i="12"/>
  <c r="Q184" i="21"/>
  <c r="Q191" i="21" s="1"/>
  <c r="Q159" i="21"/>
  <c r="Q186" i="23"/>
  <c r="Q193" i="23" s="1"/>
  <c r="Q108" i="23"/>
  <c r="R35" i="23"/>
  <c r="R28" i="23"/>
  <c r="R29" i="23" s="1"/>
  <c r="R40" i="23"/>
  <c r="Q200" i="23"/>
  <c r="Q200" i="21"/>
  <c r="Q61" i="23"/>
  <c r="Q114" i="23" s="1"/>
  <c r="Q159" i="12"/>
  <c r="Q184" i="12"/>
  <c r="Q191" i="12" s="1"/>
  <c r="R35" i="21"/>
  <c r="R28" i="21"/>
  <c r="R29" i="21" s="1"/>
  <c r="R40" i="21"/>
  <c r="Q174" i="23"/>
  <c r="Q176" i="23" s="1"/>
  <c r="Q178" i="23" s="1"/>
  <c r="Q23" i="20" s="1"/>
  <c r="R35" i="12"/>
  <c r="R40" i="12"/>
  <c r="R28" i="12"/>
  <c r="R29" i="12" s="1"/>
  <c r="Q159" i="22"/>
  <c r="Q184" i="22"/>
  <c r="Q191" i="22" s="1"/>
  <c r="Q186" i="21"/>
  <c r="Q193" i="21" s="1"/>
  <c r="Q108" i="21"/>
  <c r="Q186" i="22"/>
  <c r="Q193" i="22" s="1"/>
  <c r="Q108" i="22"/>
  <c r="Q186" i="12"/>
  <c r="Q193" i="12" s="1"/>
  <c r="Q201" i="12" s="1"/>
  <c r="Q108" i="12"/>
  <c r="Q214" i="21"/>
  <c r="Q216" i="21" s="1"/>
  <c r="Q61" i="12"/>
  <c r="Q114" i="12" s="1"/>
  <c r="R134" i="23"/>
  <c r="R135" i="23" s="1"/>
  <c r="R141" i="23"/>
  <c r="R146" i="23"/>
  <c r="Q214" i="22"/>
  <c r="Q216" i="22" s="1"/>
  <c r="R40" i="22"/>
  <c r="R28" i="22"/>
  <c r="R29" i="22" s="1"/>
  <c r="R35" i="22"/>
  <c r="Q200" i="22"/>
  <c r="Q202" i="12" l="1"/>
  <c r="Q115" i="23"/>
  <c r="Q116" i="23" s="1"/>
  <c r="Q187" i="23"/>
  <c r="Q194" i="23" s="1"/>
  <c r="Q160" i="23"/>
  <c r="Q201" i="23"/>
  <c r="Q202" i="23" s="1"/>
  <c r="Q204" i="23"/>
  <c r="R182" i="12"/>
  <c r="R142" i="12"/>
  <c r="R143" i="12" s="1"/>
  <c r="R147" i="12" s="1"/>
  <c r="R148" i="12" s="1"/>
  <c r="R152" i="12" s="1"/>
  <c r="R153" i="12" s="1"/>
  <c r="R155" i="12"/>
  <c r="R36" i="21"/>
  <c r="R37" i="21" s="1"/>
  <c r="R41" i="21" s="1"/>
  <c r="R42" i="21" s="1"/>
  <c r="R51" i="21"/>
  <c r="Q204" i="22"/>
  <c r="Q115" i="12"/>
  <c r="Q116" i="12" s="1"/>
  <c r="Q187" i="12"/>
  <c r="Q194" i="12" s="1"/>
  <c r="Q160" i="12"/>
  <c r="Q161" i="12" s="1"/>
  <c r="Q163" i="12" s="1"/>
  <c r="R36" i="12"/>
  <c r="R37" i="12" s="1"/>
  <c r="R41" i="12" s="1"/>
  <c r="R42" i="12" s="1"/>
  <c r="R51" i="12"/>
  <c r="Q204" i="12"/>
  <c r="Q24" i="20"/>
  <c r="R182" i="21"/>
  <c r="R189" i="21" s="1"/>
  <c r="R142" i="21"/>
  <c r="R143" i="21" s="1"/>
  <c r="R147" i="21" s="1"/>
  <c r="R148" i="21" s="1"/>
  <c r="R152" i="21" s="1"/>
  <c r="R153" i="21" s="1"/>
  <c r="R155" i="21"/>
  <c r="Q9" i="20"/>
  <c r="Q219" i="12"/>
  <c r="Q221" i="12" s="1"/>
  <c r="Q187" i="22"/>
  <c r="Q194" i="22" s="1"/>
  <c r="Q160" i="22"/>
  <c r="Q161" i="22" s="1"/>
  <c r="Q115" i="22"/>
  <c r="Q116" i="22" s="1"/>
  <c r="Q204" i="21"/>
  <c r="R155" i="22"/>
  <c r="R182" i="22"/>
  <c r="R189" i="22" s="1"/>
  <c r="R142" i="22"/>
  <c r="R143" i="22" s="1"/>
  <c r="R147" i="22" s="1"/>
  <c r="R148" i="22" s="1"/>
  <c r="R152" i="22" s="1"/>
  <c r="R153" i="22" s="1"/>
  <c r="Q14" i="20"/>
  <c r="R182" i="23"/>
  <c r="R189" i="23" s="1"/>
  <c r="R142" i="23"/>
  <c r="R143" i="23" s="1"/>
  <c r="R147" i="23" s="1"/>
  <c r="R148" i="23" s="1"/>
  <c r="R152" i="23" s="1"/>
  <c r="R153" i="23" s="1"/>
  <c r="R155" i="23"/>
  <c r="Q201" i="22"/>
  <c r="Q202" i="22" s="1"/>
  <c r="Q19" i="20"/>
  <c r="Q115" i="21"/>
  <c r="Q116" i="21" s="1"/>
  <c r="Q160" i="21"/>
  <c r="Q161" i="21" s="1"/>
  <c r="Q187" i="21"/>
  <c r="Q194" i="21" s="1"/>
  <c r="R36" i="23"/>
  <c r="R37" i="23" s="1"/>
  <c r="R41" i="23" s="1"/>
  <c r="R42" i="23" s="1"/>
  <c r="R51" i="23"/>
  <c r="Q161" i="23"/>
  <c r="R36" i="22"/>
  <c r="R37" i="22" s="1"/>
  <c r="R41" i="22" s="1"/>
  <c r="R42" i="22" s="1"/>
  <c r="R51" i="22"/>
  <c r="Q201" i="21"/>
  <c r="Q202" i="21" s="1"/>
  <c r="R189" i="12" l="1"/>
  <c r="Q219" i="22"/>
  <c r="Q221" i="22" s="1"/>
  <c r="Q219" i="23"/>
  <c r="Q221" i="23" s="1"/>
  <c r="Q219" i="21"/>
  <c r="Q221" i="21" s="1"/>
  <c r="Q163" i="22"/>
  <c r="Q205" i="21"/>
  <c r="Q206" i="21" s="1"/>
  <c r="Q164" i="22"/>
  <c r="H116" i="22"/>
  <c r="H164" i="22" s="1"/>
  <c r="R47" i="23"/>
  <c r="R48" i="23" s="1"/>
  <c r="R52" i="23" s="1"/>
  <c r="R53" i="23" s="1"/>
  <c r="R169" i="23"/>
  <c r="R172" i="23" s="1"/>
  <c r="R47" i="22"/>
  <c r="R48" i="22" s="1"/>
  <c r="R52" i="22" s="1"/>
  <c r="R53" i="22" s="1"/>
  <c r="R169" i="22"/>
  <c r="R172" i="22" s="1"/>
  <c r="R156" i="23"/>
  <c r="R157" i="23" s="1"/>
  <c r="R183" i="23"/>
  <c r="R190" i="23" s="1"/>
  <c r="R196" i="21"/>
  <c r="H189" i="21"/>
  <c r="H196" i="21" s="1"/>
  <c r="R47" i="21"/>
  <c r="R48" i="21" s="1"/>
  <c r="R52" i="21" s="1"/>
  <c r="R53" i="21" s="1"/>
  <c r="R169" i="21"/>
  <c r="R172" i="21" s="1"/>
  <c r="Q164" i="12"/>
  <c r="Q165" i="12" s="1"/>
  <c r="H116" i="12"/>
  <c r="H164" i="12" s="1"/>
  <c r="R169" i="12"/>
  <c r="R172" i="12" s="1"/>
  <c r="R47" i="12"/>
  <c r="R48" i="12" s="1"/>
  <c r="R52" i="12" s="1"/>
  <c r="R53" i="12" s="1"/>
  <c r="R196" i="22"/>
  <c r="H189" i="22"/>
  <c r="H196" i="22" s="1"/>
  <c r="R196" i="23"/>
  <c r="H189" i="23"/>
  <c r="H196" i="23" s="1"/>
  <c r="R196" i="12"/>
  <c r="H189" i="12"/>
  <c r="H196" i="12" s="1"/>
  <c r="R156" i="22"/>
  <c r="R157" i="22" s="1"/>
  <c r="R183" i="22"/>
  <c r="R190" i="22" s="1"/>
  <c r="Q163" i="21"/>
  <c r="Q164" i="21"/>
  <c r="H116" i="21"/>
  <c r="H164" i="21" s="1"/>
  <c r="Q205" i="22"/>
  <c r="Q206" i="22" s="1"/>
  <c r="Q15" i="20"/>
  <c r="R183" i="12"/>
  <c r="R190" i="12" s="1"/>
  <c r="R156" i="12"/>
  <c r="R157" i="12" s="1"/>
  <c r="Q205" i="23"/>
  <c r="Q206" i="23" s="1"/>
  <c r="R156" i="21"/>
  <c r="R157" i="21" s="1"/>
  <c r="R183" i="21"/>
  <c r="R190" i="21" s="1"/>
  <c r="Q163" i="23"/>
  <c r="Q205" i="12"/>
  <c r="Q206" i="12" s="1"/>
  <c r="Q164" i="23"/>
  <c r="H116" i="23"/>
  <c r="H164" i="23" s="1"/>
  <c r="Q166" i="23" l="1"/>
  <c r="Q166" i="12"/>
  <c r="Q166" i="22"/>
  <c r="Q165" i="22"/>
  <c r="R61" i="12"/>
  <c r="R114" i="12" s="1"/>
  <c r="H53" i="12"/>
  <c r="R200" i="23"/>
  <c r="H190" i="23"/>
  <c r="H200" i="23" s="1"/>
  <c r="R200" i="12"/>
  <c r="H190" i="12"/>
  <c r="H200" i="12" s="1"/>
  <c r="R184" i="23"/>
  <c r="R191" i="23" s="1"/>
  <c r="R159" i="23"/>
  <c r="H157" i="23"/>
  <c r="Q10" i="20"/>
  <c r="R200" i="21"/>
  <c r="H190" i="21"/>
  <c r="H200" i="21" s="1"/>
  <c r="R184" i="21"/>
  <c r="R191" i="21" s="1"/>
  <c r="R159" i="21"/>
  <c r="H157" i="21"/>
  <c r="Q166" i="21"/>
  <c r="Q165" i="21"/>
  <c r="R61" i="22"/>
  <c r="R114" i="22" s="1"/>
  <c r="H53" i="22"/>
  <c r="Q25" i="20"/>
  <c r="Q165" i="23"/>
  <c r="R200" i="22"/>
  <c r="H190" i="22"/>
  <c r="H200" i="22" s="1"/>
  <c r="R184" i="12"/>
  <c r="R191" i="12" s="1"/>
  <c r="R159" i="12"/>
  <c r="H157" i="12"/>
  <c r="R184" i="22"/>
  <c r="R191" i="22" s="1"/>
  <c r="R159" i="22"/>
  <c r="H157" i="22"/>
  <c r="R61" i="21"/>
  <c r="R114" i="21" s="1"/>
  <c r="H53" i="21"/>
  <c r="R61" i="23"/>
  <c r="R114" i="23" s="1"/>
  <c r="H53" i="23"/>
  <c r="Q20" i="20"/>
  <c r="R204" i="12" l="1"/>
  <c r="H191" i="12"/>
  <c r="H204" i="12" s="1"/>
  <c r="R204" i="21"/>
  <c r="H191" i="21"/>
  <c r="H204" i="21" s="1"/>
  <c r="H159" i="23"/>
  <c r="H184" i="23"/>
  <c r="H184" i="22"/>
  <c r="H159" i="22"/>
  <c r="R204" i="23"/>
  <c r="H191" i="23"/>
  <c r="H204" i="23" s="1"/>
  <c r="R204" i="22"/>
  <c r="H191" i="22"/>
  <c r="H204" i="22" s="1"/>
  <c r="H159" i="12"/>
  <c r="H184" i="12"/>
  <c r="H184" i="21"/>
  <c r="H159" i="21"/>
  <c r="R86" i="16" l="1"/>
  <c r="R91" i="16" s="1"/>
  <c r="R85" i="16"/>
  <c r="R84" i="16"/>
  <c r="R88" i="16" s="1"/>
  <c r="R92" i="16" l="1"/>
  <c r="R94" i="16" s="1"/>
  <c r="R119" i="16" s="1"/>
  <c r="R121" i="16" s="1"/>
  <c r="R124" i="16" s="1"/>
  <c r="R127" i="16" s="1"/>
  <c r="R129" i="16" s="1"/>
  <c r="R131" i="16" s="1"/>
  <c r="R133" i="16" s="1"/>
  <c r="R135" i="16" s="1"/>
  <c r="R89" i="16"/>
  <c r="R130" i="16" s="1"/>
  <c r="R69" i="21" l="1"/>
  <c r="R70" i="21" s="1"/>
  <c r="R74" i="21" s="1"/>
  <c r="R75" i="21" s="1"/>
  <c r="R69" i="23"/>
  <c r="R70" i="23" s="1"/>
  <c r="R74" i="23" s="1"/>
  <c r="R75" i="23" s="1"/>
  <c r="R69" i="22"/>
  <c r="R70" i="22" s="1"/>
  <c r="R74" i="22" s="1"/>
  <c r="R75" i="22" s="1"/>
  <c r="R69" i="24"/>
  <c r="R70" i="24" s="1"/>
  <c r="R74" i="24" s="1"/>
  <c r="R75" i="24" s="1"/>
  <c r="R69" i="12"/>
  <c r="R70" i="12" s="1"/>
  <c r="R74" i="12" s="1"/>
  <c r="R75" i="12" s="1"/>
  <c r="R86" i="12" l="1"/>
  <c r="R91" i="12" s="1"/>
  <c r="R79" i="12"/>
  <c r="R80" i="12" s="1"/>
  <c r="R79" i="24"/>
  <c r="R80" i="24" s="1"/>
  <c r="R86" i="24"/>
  <c r="R91" i="24" s="1"/>
  <c r="R79" i="22"/>
  <c r="R80" i="22" s="1"/>
  <c r="R86" i="22"/>
  <c r="R91" i="22" s="1"/>
  <c r="R86" i="23"/>
  <c r="R91" i="23" s="1"/>
  <c r="R79" i="23"/>
  <c r="R80" i="23" s="1"/>
  <c r="R86" i="21"/>
  <c r="R91" i="21" s="1"/>
  <c r="R79" i="21"/>
  <c r="R80" i="21" s="1"/>
  <c r="R87" i="23" l="1"/>
  <c r="R88" i="23" s="1"/>
  <c r="R106" i="23"/>
  <c r="R106" i="22"/>
  <c r="R87" i="22"/>
  <c r="R88" i="22" s="1"/>
  <c r="R106" i="24"/>
  <c r="R87" i="24"/>
  <c r="R88" i="24" s="1"/>
  <c r="R106" i="21"/>
  <c r="R87" i="21"/>
  <c r="R88" i="21" s="1"/>
  <c r="R106" i="12"/>
  <c r="R87" i="12"/>
  <c r="R88" i="12" s="1"/>
  <c r="R185" i="21" l="1"/>
  <c r="R192" i="21" s="1"/>
  <c r="R102" i="24"/>
  <c r="R103" i="24" s="1"/>
  <c r="R92" i="24"/>
  <c r="R93" i="24" s="1"/>
  <c r="R185" i="24"/>
  <c r="R192" i="24" s="1"/>
  <c r="R102" i="22"/>
  <c r="R103" i="22" s="1"/>
  <c r="R92" i="22"/>
  <c r="R93" i="22" s="1"/>
  <c r="R92" i="21"/>
  <c r="R93" i="21" s="1"/>
  <c r="R102" i="21"/>
  <c r="R103" i="21" s="1"/>
  <c r="R185" i="22"/>
  <c r="R192" i="22" s="1"/>
  <c r="R102" i="12"/>
  <c r="R103" i="12" s="1"/>
  <c r="R92" i="12"/>
  <c r="R93" i="12" s="1"/>
  <c r="R185" i="23"/>
  <c r="R192" i="23" s="1"/>
  <c r="R185" i="12"/>
  <c r="R192" i="12" s="1"/>
  <c r="R102" i="23"/>
  <c r="R103" i="23" s="1"/>
  <c r="R92" i="23"/>
  <c r="R93" i="23" s="1"/>
  <c r="R197" i="23" l="1"/>
  <c r="R198" i="23" s="1"/>
  <c r="H192" i="23"/>
  <c r="H197" i="23" s="1"/>
  <c r="R170" i="12"/>
  <c r="R173" i="12" s="1"/>
  <c r="R174" i="12" s="1"/>
  <c r="R176" i="12" s="1"/>
  <c r="R178" i="12" s="1"/>
  <c r="R13" i="20" s="1"/>
  <c r="R98" i="12"/>
  <c r="R99" i="12" s="1"/>
  <c r="R107" i="12" s="1"/>
  <c r="R197" i="24"/>
  <c r="R198" i="24" s="1"/>
  <c r="H192" i="24"/>
  <c r="H197" i="24" s="1"/>
  <c r="R170" i="22"/>
  <c r="R173" i="22" s="1"/>
  <c r="R174" i="22" s="1"/>
  <c r="R176" i="22" s="1"/>
  <c r="R178" i="22" s="1"/>
  <c r="R18" i="20" s="1"/>
  <c r="R98" i="22"/>
  <c r="R99" i="22" s="1"/>
  <c r="R107" i="22" s="1"/>
  <c r="R98" i="23"/>
  <c r="R99" i="23" s="1"/>
  <c r="R107" i="23" s="1"/>
  <c r="R170" i="23"/>
  <c r="R173" i="23" s="1"/>
  <c r="R174" i="23" s="1"/>
  <c r="R176" i="23" s="1"/>
  <c r="R178" i="23" s="1"/>
  <c r="R23" i="20" s="1"/>
  <c r="R170" i="24"/>
  <c r="R173" i="24" s="1"/>
  <c r="R174" i="24" s="1"/>
  <c r="R176" i="24" s="1"/>
  <c r="R178" i="24" s="1"/>
  <c r="R28" i="20" s="1"/>
  <c r="R98" i="24"/>
  <c r="R99" i="24" s="1"/>
  <c r="R107" i="24" s="1"/>
  <c r="R197" i="22"/>
  <c r="R198" i="22" s="1"/>
  <c r="H192" i="22"/>
  <c r="H197" i="22" s="1"/>
  <c r="R197" i="12"/>
  <c r="R198" i="12" s="1"/>
  <c r="H192" i="12"/>
  <c r="H197" i="12" s="1"/>
  <c r="R98" i="21"/>
  <c r="R99" i="21" s="1"/>
  <c r="R107" i="21" s="1"/>
  <c r="R170" i="21"/>
  <c r="R173" i="21" s="1"/>
  <c r="R174" i="21" s="1"/>
  <c r="R176" i="21" s="1"/>
  <c r="R178" i="21" s="1"/>
  <c r="R8" i="20" s="1"/>
  <c r="R197" i="21"/>
  <c r="R198" i="21" s="1"/>
  <c r="H192" i="21"/>
  <c r="H197" i="21" s="1"/>
  <c r="R214" i="12" l="1"/>
  <c r="R216" i="12" s="1"/>
  <c r="H198" i="12"/>
  <c r="H214" i="12" s="1"/>
  <c r="R214" i="22"/>
  <c r="R216" i="22" s="1"/>
  <c r="H198" i="22"/>
  <c r="H214" i="22" s="1"/>
  <c r="R214" i="24"/>
  <c r="R216" i="24" s="1"/>
  <c r="H198" i="24"/>
  <c r="H214" i="24" s="1"/>
  <c r="R186" i="24"/>
  <c r="R193" i="24" s="1"/>
  <c r="R108" i="24"/>
  <c r="R186" i="12"/>
  <c r="R193" i="12" s="1"/>
  <c r="R108" i="12"/>
  <c r="R186" i="22"/>
  <c r="R193" i="22" s="1"/>
  <c r="R108" i="22"/>
  <c r="R214" i="21"/>
  <c r="R216" i="21" s="1"/>
  <c r="H198" i="21"/>
  <c r="H214" i="21" s="1"/>
  <c r="R186" i="21"/>
  <c r="R193" i="21" s="1"/>
  <c r="R108" i="21"/>
  <c r="R186" i="23"/>
  <c r="R193" i="23" s="1"/>
  <c r="R108" i="23"/>
  <c r="R214" i="23"/>
  <c r="R216" i="23" s="1"/>
  <c r="H198" i="23"/>
  <c r="H214" i="23" s="1"/>
  <c r="R201" i="21" l="1"/>
  <c r="R202" i="21" s="1"/>
  <c r="H193" i="21"/>
  <c r="H201" i="21" s="1"/>
  <c r="R201" i="24"/>
  <c r="R202" i="24" s="1"/>
  <c r="H193" i="24"/>
  <c r="H201" i="24" s="1"/>
  <c r="H216" i="21"/>
  <c r="H9" i="20" s="1"/>
  <c r="R9" i="20"/>
  <c r="R29" i="20"/>
  <c r="H216" i="24"/>
  <c r="H29" i="20" s="1"/>
  <c r="R187" i="22"/>
  <c r="R194" i="22" s="1"/>
  <c r="R115" i="22"/>
  <c r="R160" i="22"/>
  <c r="R161" i="22" s="1"/>
  <c r="H108" i="22"/>
  <c r="R160" i="24"/>
  <c r="R161" i="24" s="1"/>
  <c r="R187" i="24"/>
  <c r="R194" i="24" s="1"/>
  <c r="R115" i="24"/>
  <c r="H108" i="24"/>
  <c r="H216" i="23"/>
  <c r="H24" i="20" s="1"/>
  <c r="R24" i="20"/>
  <c r="H193" i="22"/>
  <c r="H201" i="22" s="1"/>
  <c r="R201" i="22"/>
  <c r="R202" i="22" s="1"/>
  <c r="H216" i="22"/>
  <c r="H19" i="20" s="1"/>
  <c r="R19" i="20"/>
  <c r="R160" i="21"/>
  <c r="R161" i="21" s="1"/>
  <c r="R115" i="21"/>
  <c r="R187" i="21"/>
  <c r="R194" i="21" s="1"/>
  <c r="H108" i="21"/>
  <c r="R160" i="23"/>
  <c r="R161" i="23" s="1"/>
  <c r="H108" i="23"/>
  <c r="R187" i="23"/>
  <c r="R194" i="23" s="1"/>
  <c r="R115" i="23"/>
  <c r="R187" i="12"/>
  <c r="R194" i="12" s="1"/>
  <c r="R160" i="12"/>
  <c r="R161" i="12" s="1"/>
  <c r="R115" i="12"/>
  <c r="H108" i="12"/>
  <c r="R201" i="23"/>
  <c r="R202" i="23" s="1"/>
  <c r="H193" i="23"/>
  <c r="H201" i="23" s="1"/>
  <c r="H193" i="12"/>
  <c r="H201" i="12" s="1"/>
  <c r="R201" i="12"/>
  <c r="R202" i="12" s="1"/>
  <c r="R14" i="20"/>
  <c r="H216" i="12"/>
  <c r="H14" i="20" s="1"/>
  <c r="R205" i="12" l="1"/>
  <c r="R206" i="12" s="1"/>
  <c r="H206" i="12" s="1"/>
  <c r="H194" i="12"/>
  <c r="H205" i="12" s="1"/>
  <c r="R163" i="21"/>
  <c r="R165" i="21" s="1"/>
  <c r="F165" i="21" s="1"/>
  <c r="F14" i="9" s="1"/>
  <c r="H161" i="21"/>
  <c r="H163" i="21" s="1"/>
  <c r="H161" i="12"/>
  <c r="H163" i="12" s="1"/>
  <c r="R163" i="12"/>
  <c r="R165" i="12" s="1"/>
  <c r="F165" i="12" s="1"/>
  <c r="F15" i="9" s="1"/>
  <c r="R219" i="12"/>
  <c r="R221" i="12" s="1"/>
  <c r="H202" i="12"/>
  <c r="H219" i="12" s="1"/>
  <c r="R205" i="24"/>
  <c r="R206" i="24" s="1"/>
  <c r="H206" i="24" s="1"/>
  <c r="H194" i="24"/>
  <c r="H205" i="24" s="1"/>
  <c r="H194" i="23"/>
  <c r="H205" i="23" s="1"/>
  <c r="R205" i="23"/>
  <c r="R206" i="23" s="1"/>
  <c r="H206" i="23" s="1"/>
  <c r="R163" i="24"/>
  <c r="R165" i="24" s="1"/>
  <c r="F165" i="24" s="1"/>
  <c r="F18" i="9" s="1"/>
  <c r="H161" i="24"/>
  <c r="H163" i="24" s="1"/>
  <c r="H160" i="23"/>
  <c r="H115" i="23"/>
  <c r="H187" i="23"/>
  <c r="H202" i="22"/>
  <c r="H219" i="22" s="1"/>
  <c r="R219" i="22"/>
  <c r="R221" i="22" s="1"/>
  <c r="H187" i="22"/>
  <c r="H160" i="22"/>
  <c r="H115" i="22"/>
  <c r="R219" i="23"/>
  <c r="R221" i="23" s="1"/>
  <c r="H202" i="23"/>
  <c r="H219" i="23" s="1"/>
  <c r="H161" i="23"/>
  <c r="H163" i="23" s="1"/>
  <c r="R163" i="23"/>
  <c r="R165" i="23" s="1"/>
  <c r="F165" i="23" s="1"/>
  <c r="F17" i="9" s="1"/>
  <c r="H161" i="22"/>
  <c r="H163" i="22" s="1"/>
  <c r="R163" i="22"/>
  <c r="R165" i="22" s="1"/>
  <c r="F165" i="22" s="1"/>
  <c r="F16" i="9" s="1"/>
  <c r="R219" i="24"/>
  <c r="R221" i="24" s="1"/>
  <c r="H202" i="24"/>
  <c r="H219" i="24" s="1"/>
  <c r="H187" i="24"/>
  <c r="H115" i="24"/>
  <c r="H160" i="24"/>
  <c r="H160" i="12"/>
  <c r="H115" i="12"/>
  <c r="H187" i="12"/>
  <c r="H115" i="21"/>
  <c r="H160" i="21"/>
  <c r="H187" i="21"/>
  <c r="H194" i="21"/>
  <c r="H205" i="21" s="1"/>
  <c r="R205" i="21"/>
  <c r="R206" i="21" s="1"/>
  <c r="H206" i="21" s="1"/>
  <c r="H194" i="22"/>
  <c r="H205" i="22" s="1"/>
  <c r="R205" i="22"/>
  <c r="R206" i="22" s="1"/>
  <c r="H206" i="22" s="1"/>
  <c r="R219" i="21"/>
  <c r="R221" i="21" s="1"/>
  <c r="H202" i="21"/>
  <c r="H219" i="21" s="1"/>
  <c r="H221" i="23" l="1"/>
  <c r="H25" i="20" s="1"/>
  <c r="R25" i="20"/>
  <c r="H221" i="12"/>
  <c r="H15" i="20" s="1"/>
  <c r="R15" i="20"/>
  <c r="R30" i="20"/>
  <c r="H221" i="24"/>
  <c r="H30" i="20" s="1"/>
  <c r="R10" i="20"/>
  <c r="H221" i="21"/>
  <c r="H10" i="20" s="1"/>
  <c r="F9" i="9"/>
  <c r="H221" i="22"/>
  <c r="H20" i="20" s="1"/>
  <c r="R20" i="20"/>
  <c r="F2" i="24" l="1"/>
  <c r="F2" i="9"/>
  <c r="F2" i="8"/>
  <c r="F2" i="21"/>
  <c r="F2" i="22"/>
  <c r="F2" i="7"/>
  <c r="C49" i="17"/>
  <c r="F2" i="12"/>
  <c r="F2" i="16"/>
  <c r="F2" i="20"/>
  <c r="F2" i="23"/>
</calcChain>
</file>

<file path=xl/sharedStrings.xml><?xml version="1.0" encoding="utf-8"?>
<sst xmlns="http://schemas.openxmlformats.org/spreadsheetml/2006/main" count="1053" uniqueCount="435">
  <si>
    <t>Filename:</t>
  </si>
  <si>
    <t>Date:</t>
  </si>
  <si>
    <t>Error check status</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</si>
  <si>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</si>
  <si>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</si>
  <si>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</si>
  <si>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</si>
  <si>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</si>
  <si>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</si>
  <si>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</si>
  <si>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</si>
  <si>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</si>
  <si>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</si>
  <si>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</si>
  <si>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</si>
  <si>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</si>
  <si>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</si>
  <si>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</si>
  <si>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</si>
  <si>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</si>
  <si>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</si>
  <si>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</si>
  <si>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</si>
  <si>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</si>
  <si>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</si>
  <si>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</si>
  <si>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</si>
  <si>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</si>
  <si>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</si>
  <si>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</si>
  <si>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</si>
  <si>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</si>
  <si>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</si>
  <si>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</si>
  <si>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</si>
  <si>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</si>
  <si>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</si>
  <si>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</si>
  <si>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</si>
  <si>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</si>
  <si>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</si>
  <si>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</si>
  <si>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</si>
  <si>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</si>
  <si>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</si>
  <si>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</si>
  <si>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</si>
  <si>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</si>
  <si>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</si>
  <si>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</si>
  <si>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</si>
  <si>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</si>
  <si>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</si>
  <si>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</si>
  <si>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</si>
  <si>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</si>
  <si>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</si>
  <si>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</si>
  <si>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</si>
  <si>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</si>
  <si>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</si>
  <si>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</si>
  <si>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</si>
  <si>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</si>
  <si>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</si>
  <si>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</si>
  <si>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Model documentation sheet</t>
  </si>
  <si>
    <t>Flags, part period factors (PPFs) and dates</t>
  </si>
  <si>
    <t>Explanation of different formatting types</t>
  </si>
  <si>
    <t>Table of contents</t>
  </si>
  <si>
    <t>Inputs - row format</t>
  </si>
  <si>
    <t>Error chks</t>
  </si>
  <si>
    <t>Constant</t>
  </si>
  <si>
    <t>Unit</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</si>
  <si>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</si>
  <si>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</si>
  <si>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</si>
  <si>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</si>
  <si>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</si>
  <si>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</si>
  <si>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</si>
  <si>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</si>
  <si>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</si>
  <si>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</si>
  <si>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</si>
  <si>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</si>
  <si>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</si>
  <si>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</si>
  <si>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t>
  </si>
  <si>
    <t>NON CHANGEABLE INPUTS</t>
  </si>
  <si>
    <t>Model Tolerance</t>
  </si>
  <si>
    <t>Model Check Tolerance Level</t>
  </si>
  <si>
    <t>tolerance</t>
  </si>
  <si>
    <t>Total</t>
  </si>
  <si>
    <t>%</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</si>
  <si>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</si>
  <si>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</si>
  <si>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</si>
  <si>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</si>
  <si>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</si>
  <si>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</si>
  <si>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</si>
  <si>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</si>
  <si>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</si>
  <si>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</si>
  <si>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</si>
  <si>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</si>
  <si>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</si>
  <si>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</si>
  <si>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</si>
  <si>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</si>
  <si>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</si>
  <si>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</si>
  <si>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</si>
  <si>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</si>
  <si>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</si>
  <si>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</si>
  <si>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</si>
  <si>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</si>
  <si>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</si>
  <si>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</si>
  <si>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</si>
  <si>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</si>
  <si>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</si>
  <si>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</si>
  <si>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</si>
  <si>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</si>
  <si>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</si>
  <si>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</si>
  <si>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</si>
  <si>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</si>
  <si>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</si>
  <si>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</si>
  <si>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</si>
  <si>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</si>
  <si>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</si>
  <si>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</si>
  <si>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</si>
  <si>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</si>
  <si>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</si>
  <si>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</si>
  <si>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</si>
  <si>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</si>
  <si>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</si>
  <si>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</si>
  <si>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</si>
  <si>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</si>
  <si>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</si>
  <si>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Actual nominal revenue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</si>
  <si>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</si>
  <si>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</si>
  <si>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</si>
  <si>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</si>
  <si>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</si>
  <si>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</si>
  <si>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</si>
  <si>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RCV returns based on actual wedge</t>
  </si>
  <si>
    <t>Nominal return company should have received</t>
  </si>
  <si>
    <t>Revenue based on actual wedge</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</si>
  <si>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</si>
  <si>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</si>
  <si>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</si>
  <si>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</si>
  <si>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balance BEG</t>
  </si>
  <si>
    <t>True up Nominal RCV balance END</t>
  </si>
  <si>
    <t>True-up correctly calculates revenue adjustment</t>
  </si>
  <si>
    <t>CHECK SUMMARY</t>
  </si>
  <si>
    <t>Total Checks</t>
  </si>
  <si>
    <t xml:space="preserve">check </t>
  </si>
  <si>
    <t>[do not delete this row]</t>
  </si>
  <si>
    <t>[range start]</t>
  </si>
  <si>
    <t>[range ends]</t>
  </si>
  <si>
    <t>Track Tolerance Level</t>
  </si>
  <si>
    <t>Actual average RCV balance</t>
  </si>
  <si>
    <t>Forecast nominal return calculation has been amended to only calculate during the forecast period</t>
  </si>
  <si>
    <t>Nominal return company should have received calculation has been amended to only calculate during the forecast period</t>
  </si>
  <si>
    <t>True up nominal return calculation has been amended to only calculate during the forecast period</t>
  </si>
  <si>
    <t>Actual and True up nominal RCV inputs have been amended to be formula driven to equal Forecast nominal RCV.</t>
  </si>
  <si>
    <t>Changes since December 2017 version</t>
  </si>
  <si>
    <t>Label has been amended from 'Actual RCV balance' to 'Actual average RCV balance'.</t>
  </si>
  <si>
    <t>Changes since March 2018 version</t>
  </si>
  <si>
    <t>FINAL DETERMINATION ASSUMPTIONS</t>
  </si>
  <si>
    <t>RPI - final determination</t>
  </si>
  <si>
    <t>CPI(H) - final determination</t>
  </si>
  <si>
    <t>OUTTURN INFLATION</t>
  </si>
  <si>
    <t>RPI - outturn</t>
  </si>
  <si>
    <t>CPI(H) - outturn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</si>
  <si>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</si>
  <si>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</si>
  <si>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</si>
  <si>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</si>
  <si>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</si>
  <si>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</si>
  <si>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</si>
  <si>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</si>
  <si>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</si>
  <si>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</si>
  <si>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</si>
  <si>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</si>
  <si>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</si>
  <si>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</si>
  <si>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</si>
  <si>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</si>
  <si>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</si>
  <si>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</si>
  <si>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</si>
  <si>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</si>
  <si>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</si>
  <si>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</si>
  <si>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</si>
  <si>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</si>
  <si>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</si>
  <si>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</si>
  <si>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</si>
  <si>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</si>
  <si>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</si>
  <si>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</si>
  <si>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</si>
  <si>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</si>
  <si>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</si>
  <si>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</si>
  <si>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</si>
  <si>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</si>
  <si>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</si>
  <si>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</si>
  <si>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</si>
  <si>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</si>
  <si>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</si>
  <si>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</si>
  <si>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</si>
  <si>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</si>
  <si>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</si>
  <si>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</si>
  <si>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</si>
  <si>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</si>
  <si>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</si>
  <si>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</si>
  <si>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</si>
  <si>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</si>
  <si>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</si>
  <si>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</si>
  <si>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</si>
  <si>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</si>
  <si>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</si>
  <si>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</si>
  <si>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</si>
  <si>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</si>
  <si>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</si>
  <si>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</si>
  <si>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</si>
  <si>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</si>
  <si>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</si>
  <si>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</si>
  <si>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</si>
  <si>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</si>
  <si>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</si>
  <si>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</si>
  <si>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</si>
  <si>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</si>
  <si>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This section replicates the RCV calculations in the PR19 final determination financial model.</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</si>
  <si>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</si>
  <si>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</si>
  <si>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</si>
  <si>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This section calculates the revenue that the company should have been allowed, assuming that Ofwat had perfect foresight of the actual RPI CPIH wedge.</t>
  </si>
  <si>
    <t>This section works out the value of the true up to be applied.</t>
  </si>
  <si>
    <t>This section compares the actual revenue the company received with the revenue Ofwat would have allowed if it had perfect foresight of the RPI CPIH wedge.</t>
  </si>
  <si>
    <t>Total nominal revenue company should have received</t>
  </si>
  <si>
    <t>Difference in nominal revenue</t>
  </si>
  <si>
    <t>Value of True up nominal</t>
  </si>
  <si>
    <t>Value of True up run-off - real</t>
  </si>
  <si>
    <t>Time value of money factors</t>
  </si>
  <si>
    <t>Financing cost index</t>
  </si>
  <si>
    <t xml:space="preserve">Time value of money factor </t>
  </si>
  <si>
    <t>Factor</t>
  </si>
  <si>
    <t>Revenue adjustment for run-off</t>
  </si>
  <si>
    <t>Revenue adjustment for return</t>
  </si>
  <si>
    <t>Value of True up return - real</t>
  </si>
  <si>
    <t>Difference RCV average - real</t>
  </si>
  <si>
    <t>RCV expressed in real terms</t>
  </si>
  <si>
    <t>Revenue expressed in real terms and with time value of money adjustment applied</t>
  </si>
  <si>
    <t>Include calculations to express values in real terms and apply time value of money adjustment on the revenue adjustments for run-off and return.</t>
  </si>
  <si>
    <t>Author:</t>
  </si>
  <si>
    <t>Author contact information:</t>
  </si>
  <si>
    <t>RPI and CPIH indexation</t>
  </si>
  <si>
    <t>Workbook title:</t>
  </si>
  <si>
    <t>Version:</t>
  </si>
  <si>
    <t>Ofwat</t>
  </si>
  <si>
    <t>Summary of workbook:</t>
  </si>
  <si>
    <t>Known limitations:</t>
  </si>
  <si>
    <t>Instructions:</t>
  </si>
  <si>
    <t>Amendments:</t>
  </si>
  <si>
    <t>References:</t>
  </si>
  <si>
    <t>Error Checks:</t>
  </si>
  <si>
    <t>RAG status / Variance</t>
  </si>
  <si>
    <t>END OF SHEET</t>
  </si>
  <si>
    <t>Quality Control</t>
  </si>
  <si>
    <t>Key outputs</t>
  </si>
  <si>
    <t>RPI-CPIH wedge true up</t>
  </si>
  <si>
    <t>New input lines for RPI, CPIH index values, financing cost index and Real CPIH based WACC.</t>
  </si>
  <si>
    <t>Removed items made redundant by new input lines and the new 'Index' sheet.</t>
  </si>
  <si>
    <t>New sheet to calculate indexation factors.</t>
  </si>
  <si>
    <t>Relinked to new 'Index' sheet where previously linked to items removed from 'InpR'.</t>
  </si>
  <si>
    <t>'InpR' Rows 9 to 67</t>
  </si>
  <si>
    <t>'InpR' Rows 71 to 94</t>
  </si>
  <si>
    <t xml:space="preserve">'Index' </t>
  </si>
  <si>
    <t xml:space="preserve">'Calcs' </t>
  </si>
  <si>
    <t>'Calcs' Rows 189 to 245</t>
  </si>
  <si>
    <t>'InpC' 34 &amp; 36</t>
  </si>
  <si>
    <t>'Calc' 118</t>
  </si>
  <si>
    <t>'Calc' 51</t>
  </si>
  <si>
    <t>'Calc' 124</t>
  </si>
  <si>
    <t>'Calc' 179</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</si>
  <si>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</si>
  <si>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</si>
  <si>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</si>
  <si>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Forecast RPI and CPIH index values included in the final determination</t>
  </si>
  <si>
    <t>Actual RPI and CPIH index values published by ONS</t>
  </si>
  <si>
    <t>True up Nominal RCV average balance</t>
  </si>
  <si>
    <t>Actual Nominal RCV residual balance</t>
  </si>
  <si>
    <t>True up Nominal RCV run-off</t>
  </si>
  <si>
    <t>True up Nominal return</t>
  </si>
  <si>
    <t>Total True up Nominal revenue to company</t>
  </si>
  <si>
    <t>Value of True up total - real</t>
  </si>
  <si>
    <t>Changes since February 2020 version</t>
  </si>
  <si>
    <t>Run-off rate - CPI(H) + RPI wedge - active - WN</t>
  </si>
  <si>
    <t>RCV - CPI(H) + RPI wedge initial balance - nominal - WR</t>
  </si>
  <si>
    <t>Run-off rate - CPI(H) + RPI wedge - active - WR</t>
  </si>
  <si>
    <t>Run-off rate - CPI(H) + RPI wedge - active - WWN</t>
  </si>
  <si>
    <t>Run-off rate - CPI(H) + RPI wedge - active - BR</t>
  </si>
  <si>
    <t>Run-off rate - CPI(H) + RPI wedge - active - DMMY</t>
  </si>
  <si>
    <t>WACC real on RCV - CPI(H) bf and additions - WR</t>
  </si>
  <si>
    <t>WACC on RCV - CPI(H) + RPI wedge bf and additions - WR</t>
  </si>
  <si>
    <t>WACC real on RCV - CPI(H) bf and additions - WN</t>
  </si>
  <si>
    <t>WACC on RCV - CPI(H) + RPI wedge bf and additions - WN</t>
  </si>
  <si>
    <t>WACC real on RCV - CPI(H) bf and additions - WWN</t>
  </si>
  <si>
    <t>WACC on RCV - CPI(H) + RPI wedge bf and additions - WWN</t>
  </si>
  <si>
    <t>WACC real on RCV - CPI(H) bf and additions - BR</t>
  </si>
  <si>
    <t>WACC on RCV - CPI(H) + RPI wedge bf and additions - BR</t>
  </si>
  <si>
    <t>WACC real on RCV - CPI(H) bf and additions - DMMY</t>
  </si>
  <si>
    <t>WACC on RCV - CPI(H) + RPI wedge bf and additions - DMMY</t>
  </si>
  <si>
    <t>RCV - CPI(H) + RPI wedge initial balance - nominal - WN</t>
  </si>
  <si>
    <t>RCV - CPI(H) + RPI wedge initial balance - nominal - WWN</t>
  </si>
  <si>
    <t>RCV - CPI(H) + RPI wedge initial balance - nominal - BR</t>
  </si>
  <si>
    <t>RCV - CPI(H) + RPI wedge initial balance - nominal - DMMY</t>
  </si>
  <si>
    <t>2020 RCV RPI inflated - initial balance - nominal</t>
  </si>
  <si>
    <t>2020 RCV RPI inflated - run-off rate</t>
  </si>
  <si>
    <t>Real RPI based wholesale WACC</t>
  </si>
  <si>
    <t>Real CPIH based wholesale WACC</t>
  </si>
  <si>
    <t>Water Resources</t>
  </si>
  <si>
    <t>Water Network</t>
  </si>
  <si>
    <t>Wastewater Network</t>
  </si>
  <si>
    <t>Bio Resources</t>
  </si>
  <si>
    <t>Dummy Control</t>
  </si>
  <si>
    <t>RCV adjustment at end of period - real - WR</t>
  </si>
  <si>
    <t>Revenue adjustment for RCV run-off - real - WR</t>
  </si>
  <si>
    <t>Revenue adjustment for return - real -WR</t>
  </si>
  <si>
    <t>Revenue adjustment for return - real - WN</t>
  </si>
  <si>
    <t>Revenue adjustment for RCV run-off - real - WN</t>
  </si>
  <si>
    <t>RCV adjustment at end of period - real -WN</t>
  </si>
  <si>
    <t>Revenue adjustment for return - real - WWN</t>
  </si>
  <si>
    <t>Revenue adjustment for RCV run-off - real - WWN</t>
  </si>
  <si>
    <t>RCV adjustment at end of period - real - WWN</t>
  </si>
  <si>
    <t>RCV adjustment at end of period - real - BR</t>
  </si>
  <si>
    <t>Revenue adjustment for RCV run-off - real - BR</t>
  </si>
  <si>
    <t>Revenue adjustment for return - real - BR</t>
  </si>
  <si>
    <t>RCV adjustment at end of period - real - DMMY</t>
  </si>
  <si>
    <t>Revenue adjustment for RCV run-off - real - DMMY</t>
  </si>
  <si>
    <t>Revenue adjustment for return - real - DMMY</t>
  </si>
  <si>
    <t>Data sourced from:</t>
  </si>
  <si>
    <t>Calculation of true up - Water Resources</t>
  </si>
  <si>
    <t>Calculation of true up - Water Network</t>
  </si>
  <si>
    <t>Calculation of true up - Wastewater Network</t>
  </si>
  <si>
    <t>Calculation of true up - Bio Resources</t>
  </si>
  <si>
    <t>Calculation of true up - Dummy Control</t>
  </si>
  <si>
    <t>FORECAST POSITION AT PR19 FINAL DETERMINATION</t>
  </si>
  <si>
    <t>WHAT THE COMPANY SHOULD HAVE EXPERIENCED</t>
  </si>
  <si>
    <t>DIFFERENCE</t>
  </si>
  <si>
    <t>TRUE UP</t>
  </si>
  <si>
    <t>K calculations removed. Linked 'Actual nominal revenue' to 'Total Forecast revenue to company' on row 53.</t>
  </si>
  <si>
    <t>Calc</t>
  </si>
  <si>
    <t>COMPANY-SPECIFIC INPUTS</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</si>
  <si>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</si>
  <si>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</si>
  <si>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PR19 Financial model, 'Index' sheet row 131</t>
  </si>
  <si>
    <t>PR19 Financial model, 'Index' sheet row 132</t>
  </si>
  <si>
    <t>PR19 Financial model, 'Index' sheet row 133</t>
  </si>
  <si>
    <t>PR19 Financial model, 'Index' sheet row 134</t>
  </si>
  <si>
    <t>PR19 Financial model, 'Index' sheet row 135</t>
  </si>
  <si>
    <t>PR19 Financial model, 'Index' sheet row 136</t>
  </si>
  <si>
    <t>PR19 Financial model, 'Index' sheet row 137</t>
  </si>
  <si>
    <t>PR19 Financial model, 'Index' sheet row 138</t>
  </si>
  <si>
    <t>PR19 Financial model, 'Index' sheet row 139</t>
  </si>
  <si>
    <t>PR19 Financial model, 'Index' sheet row 140</t>
  </si>
  <si>
    <t>PR19 Financial model, 'Index' sheet row 141</t>
  </si>
  <si>
    <t>PR19 Financial model, 'Index' sheet row 142</t>
  </si>
  <si>
    <t>PR19 Financial model, 'Index' sheet F59 and 'Index' sheet row 10</t>
  </si>
  <si>
    <t>PR19 Financial model, 'Index' sheet F60 and 'Index' sheet row 11</t>
  </si>
  <si>
    <t>PR19 Financial model, 'Index' sheet F61 and 'Index' sheet row 12</t>
  </si>
  <si>
    <t>PR19 Financial model, 'Index' sheet F62 and 'Index' sheet row 13</t>
  </si>
  <si>
    <t>PR19 Financial model, 'Index' sheet F63 and 'Index' sheet row 14</t>
  </si>
  <si>
    <t>PR19 Financial model, 'Index' sheet F64 and 'Index' sheet row 15</t>
  </si>
  <si>
    <t>PR19 Financial model, 'Index' sheet F65 and 'Index' sheet row 16</t>
  </si>
  <si>
    <t>PR19 Financial model, 'Index' sheet F66 and 'Index' sheet row 17</t>
  </si>
  <si>
    <t>PR19 Financial model, 'Index' sheet F67 and 'Index' sheet row 18</t>
  </si>
  <si>
    <t>PR19 Financial model, 'Index' sheet F68 and 'Index' sheet row 19</t>
  </si>
  <si>
    <t>PR19 Financial model, 'Index' sheet F69 and 'Index' sheet row 20</t>
  </si>
  <si>
    <t>PR19 Financial model, 'Index' sheet F70 and 'Index' sheet row 21</t>
  </si>
  <si>
    <t>PR19 Financial model, 'RCV balance summary' sheet cell K23</t>
  </si>
  <si>
    <t>PR19 Financial model, 'RCV balance summary' sheet cell K93</t>
  </si>
  <si>
    <t>PR19 Financial model, 'RCV balance summary' sheet cell K163</t>
  </si>
  <si>
    <t>PR19 Financial model, 'RCV balance summary' sheet cell K233</t>
  </si>
  <si>
    <t>PR19 Financial model, 'RCV balance summary' sheet cell K303</t>
  </si>
  <si>
    <t>PR19 Financial model, 'F_OutputsMaster' sheet row 953, PR19FM2090POST</t>
  </si>
  <si>
    <t>PR19 Financial model, 'F_OutputsMaster' sheet row 956, PR19FM2093POST</t>
  </si>
  <si>
    <t>PR19 Financial model, 'F_OutputsMaster' sheet row 959, PR19FM2096POST</t>
  </si>
  <si>
    <t>PR19 Financial model, 'F_OutputsMaster' sheet row 962, PR19FM2099POST</t>
  </si>
  <si>
    <t>PR19 Financial model, 'F_OutputsMaster' sheet row 966, PR19FM2103POST</t>
  </si>
  <si>
    <t>PR19 Financial model, 'Water Resources' sheet row 980</t>
  </si>
  <si>
    <t>PR19 Financial model, 'Water Network' sheet row 980</t>
  </si>
  <si>
    <t>PR19 Financial model, 'Wastewater Network' sheet row 980</t>
  </si>
  <si>
    <t>PR19 Financial model, 'Bio Resources' sheet row 980</t>
  </si>
  <si>
    <t>PR19 Financial model, 'Dummy Control' sheet row 980</t>
  </si>
  <si>
    <t>PR19 Financial model, 'Water Resources' sheet row 860</t>
  </si>
  <si>
    <t>PR19 Financial model, 'Water Network' sheet row 860</t>
  </si>
  <si>
    <t>PR19 Financial model, 'Wastewater Network' sheet row 860</t>
  </si>
  <si>
    <t>PR19 Financial model, 'Bio Resources' sheet row 860</t>
  </si>
  <si>
    <t>PR19 Financial model, 'Dummy Control' sheet row 860</t>
  </si>
  <si>
    <t>ONS, CPIH INDEX 00: ALL ITEMS 2015=100</t>
  </si>
  <si>
    <t>ONS, RPI All Items Index: Jan 1987=100</t>
  </si>
  <si>
    <t>Opening RPI-indexed RCV as at 1 April 2020 expressed in forecast nominal terms in the final determination</t>
  </si>
  <si>
    <t>Real RPI based WACC for wholesale included in final determination</t>
  </si>
  <si>
    <t>RCV run-off rate included in final determination</t>
  </si>
  <si>
    <t>Real CPIH based WACC for wholesale included in final determination</t>
  </si>
  <si>
    <t>OfwatPandO@ofwat.gov.uk</t>
  </si>
  <si>
    <t>RPI-CPIH-wedge-true-up-model-Dec-2020-v5.xlsx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</si>
</sst>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s>
  <fonts count="49"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s>
  <cellStyleXfs count="74">
    <xf numFmtId="0" fontId="0" fillId="0" borderId="0"/>
    <xf numFmtId="43" fontId="1" fillId="0" borderId="0" applyFont="0" applyFill="0" applyBorder="0" applyAlignment="0" applyProtection="0"/>
    <xf numFmtId="10"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3" fillId="46" borderId="0" applyNumberFormat="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165" fontId="1" fillId="43" borderId="0" applyNumberFormat="0" applyFont="0" applyBorder="0" applyAlignment="0" applyProtection="0"/>
    <xf numFmtId="0" fontId="1" fillId="44" borderId="0" applyNumberFormat="0" applyFont="0" applyBorder="0" applyAlignment="0" applyProtection="0"/>
    <xf numFmtId="166" fontId="24" fillId="0" borderId="0" applyNumberFormat="0" applyProtection="0">
      <alignment vertical="top"/>
    </xf>
    <xf numFmtId="166" fontId="25" fillId="0" borderId="0" applyNumberFormat="0" applyProtection="0">
      <alignment vertical="top"/>
    </xf>
    <xf numFmtId="166" fontId="18" fillId="45" borderId="0" applyNumberFormat="0" applyProtection="0">
      <alignment vertical="top"/>
    </xf>
    <xf numFmtId="9" fontId="1" fillId="0" borderId="0" applyFont="0" applyFill="0" applyBorder="0" applyAlignment="0" applyProtection="0"/>
    <xf numFmtId="0" fontId="29" fillId="0" borderId="0" applyNumberFormat="0" applyFill="0" applyBorder="0" applyProtection="0">
      <alignment vertical="top"/>
    </xf>
    <xf numFmtId="167" fontId="18" fillId="0" borderId="0" applyFont="0" applyFill="0" applyBorder="0" applyProtection="0">
      <alignment vertical="top"/>
    </xf>
    <xf numFmtId="168" fontId="18" fillId="0" borderId="0" applyFont="0" applyFill="0" applyBorder="0" applyProtection="0">
      <alignment vertical="top"/>
    </xf>
    <xf numFmtId="169" fontId="18" fillId="0" borderId="0" applyFont="0" applyFill="0" applyBorder="0" applyProtection="0">
      <alignment vertical="top"/>
    </xf>
    <xf numFmtId="0" fontId="19" fillId="0" borderId="0"/>
    <xf numFmtId="0" fontId="20" fillId="0" borderId="0"/>
    <xf numFmtId="0" fontId="21" fillId="0" borderId="0"/>
    <xf numFmtId="168" fontId="22" fillId="0" borderId="0" applyNumberFormat="0" applyFill="0" applyBorder="0" applyProtection="0">
      <alignment vertical="top"/>
    </xf>
    <xf numFmtId="0" fontId="23" fillId="0" borderId="0" applyNumberFormat="0" applyFill="0" applyBorder="0" applyProtection="0">
      <alignment vertical="top"/>
    </xf>
    <xf numFmtId="0" fontId="18" fillId="0" borderId="0" applyNumberFormat="0" applyFill="0" applyBorder="0" applyProtection="0">
      <alignment horizontal="right" vertical="top"/>
    </xf>
    <xf numFmtId="0" fontId="40" fillId="63" borderId="0" applyNumberFormat="0" applyBorder="0" applyAlignment="0" applyProtection="0"/>
    <xf numFmtId="0" fontId="26" fillId="0" borderId="0" applyNumberFormat="0" applyFill="0" applyBorder="0" applyAlignment="0" applyProtection="0"/>
    <xf numFmtId="0" fontId="42" fillId="0" borderId="0" applyNumberFormat="0" applyFill="0" applyAlignment="0" applyProtection="0"/>
    <xf numFmtId="0" fontId="43" fillId="65" borderId="0" applyNumberFormat="0" applyBorder="0" applyAlignment="0" applyProtection="0"/>
    <xf numFmtId="0" fontId="43" fillId="63" borderId="0" applyNumberFormat="0" applyAlignment="0" applyProtection="0"/>
  </cellStyleXfs>
  <cellXfs count="357">
    <xf numFmtId="0" fontId="0" fillId="0" borderId="0" xfId="0"/>
    <xf numFmtId="0" fontId="0" fillId="44" borderId="0" xfId="0" applyFill="1"/>
    <xf numFmtId="0" fontId="25" fillId="0" borderId="0" xfId="0" applyFont="1" applyBorder="1" applyAlignment="1">
      <alignment vertical="top"/>
    </xf>
    <xf numFmtId="0" fontId="18" fillId="45" borderId="0" xfId="0" applyFont="1" applyFill="1" applyBorder="1" applyAlignment="1">
      <alignment vertical="top"/>
    </xf>
    <xf numFmtId="0" fontId="24" fillId="0" borderId="0" xfId="55" applyNumberFormat="1">
      <alignment vertical="top"/>
    </xf>
    <xf numFmtId="0" fontId="22" fillId="0" borderId="0" xfId="0" applyFont="1" applyBorder="1" applyAlignment="1">
      <alignment vertical="top"/>
    </xf>
    <xf numFmtId="0" fontId="18" fillId="0" borderId="0" xfId="0" applyFont="1" applyBorder="1" applyAlignment="1">
      <alignment horizontal="right" vertical="top"/>
    </xf>
    <xf numFmtId="0" fontId="18" fillId="0" borderId="0" xfId="0" applyFont="1" applyBorder="1" applyAlignment="1">
      <alignment vertical="top"/>
    </xf>
    <xf numFmtId="0" fontId="18" fillId="0" borderId="0" xfId="0" applyFont="1" applyAlignment="1">
      <alignment vertical="top"/>
    </xf>
    <xf numFmtId="0" fontId="18" fillId="43" borderId="0" xfId="0" applyFont="1" applyFill="1" applyBorder="1" applyAlignment="1">
      <alignment vertical="top"/>
    </xf>
    <xf numFmtId="0" fontId="23" fillId="0" borderId="0" xfId="0" applyFont="1" applyFill="1" applyAlignment="1">
      <alignment vertical="top"/>
    </xf>
    <xf numFmtId="0" fontId="18" fillId="0" borderId="0" xfId="0" applyFont="1" applyAlignment="1">
      <alignment horizontal="right" vertical="top"/>
    </xf>
    <xf numFmtId="0" fontId="23" fillId="0" borderId="0" xfId="0" applyFont="1" applyAlignment="1">
      <alignment vertical="top"/>
    </xf>
    <xf numFmtId="0" fontId="22" fillId="0" borderId="0" xfId="0" applyFont="1" applyAlignment="1">
      <alignment vertical="top"/>
    </xf>
    <xf numFmtId="0" fontId="16" fillId="44" borderId="0" xfId="0" applyFont="1" applyFill="1"/>
    <xf numFmtId="0" fontId="1" fillId="0" borderId="0" xfId="0" applyFont="1"/>
    <xf numFmtId="0" fontId="0" fillId="0" borderId="0" xfId="0" applyFont="1"/>
    <xf numFmtId="0" fontId="18" fillId="48" borderId="0" xfId="0" applyFont="1" applyFill="1" applyAlignment="1">
      <alignment vertical="top"/>
    </xf>
    <xf numFmtId="0" fontId="18" fillId="48" borderId="0" xfId="0" applyFont="1" applyFill="1" applyAlignment="1">
      <alignment horizontal="right" vertical="top"/>
    </xf>
    <xf numFmtId="0" fontId="23" fillId="48" borderId="0" xfId="0" applyFont="1" applyFill="1" applyAlignment="1">
      <alignment vertical="top"/>
    </xf>
    <xf numFmtId="0" fontId="22" fillId="48" borderId="0" xfId="0" applyFont="1" applyFill="1" applyAlignment="1">
      <alignment vertical="top"/>
    </xf>
    <xf numFmtId="168" fontId="18" fillId="50" borderId="0" xfId="61" applyFont="1" applyFill="1" applyAlignment="1">
      <alignment vertical="top"/>
    </xf>
    <xf numFmtId="168" fontId="18" fillId="0" borderId="0" xfId="61" applyFont="1" applyAlignment="1">
      <alignment vertical="top"/>
    </xf>
    <xf numFmtId="167" fontId="18" fillId="0" borderId="0" xfId="60" applyFont="1" applyFill="1" applyAlignment="1">
      <alignment vertical="top"/>
    </xf>
    <xf numFmtId="170" fontId="18" fillId="50" borderId="0" xfId="0" applyNumberFormat="1" applyFont="1" applyFill="1" applyAlignment="1">
      <alignment vertical="top"/>
    </xf>
    <xf numFmtId="170" fontId="0" fillId="0" borderId="0" xfId="0" applyNumberFormat="1" applyFont="1" applyFill="1" applyAlignment="1">
      <alignment vertical="top"/>
    </xf>
    <xf numFmtId="170" fontId="18" fillId="0" borderId="0" xfId="0" applyNumberFormat="1" applyFont="1" applyFill="1" applyAlignment="1">
      <alignment vertical="top"/>
    </xf>
    <xf numFmtId="170" fontId="18" fillId="0" borderId="0" xfId="0" applyNumberFormat="1" applyFont="1" applyAlignment="1">
      <alignment horizontal="right" vertical="top"/>
    </xf>
    <xf numFmtId="170" fontId="23" fillId="0" borderId="0" xfId="0" applyNumberFormat="1" applyFont="1" applyFill="1" applyAlignment="1">
      <alignment vertical="top"/>
    </xf>
    <xf numFmtId="170" fontId="22" fillId="0" borderId="0" xfId="0" applyNumberFormat="1" applyFont="1" applyAlignment="1">
      <alignment vertical="top"/>
    </xf>
    <xf numFmtId="167" fontId="18" fillId="0" borderId="0" xfId="60" applyFont="1" applyAlignment="1">
      <alignment vertical="top"/>
    </xf>
    <xf numFmtId="0" fontId="22" fillId="0" borderId="0" xfId="0" applyFont="1" applyBorder="1" applyAlignment="1">
      <alignment vertical="top"/>
    </xf>
    <xf numFmtId="170" fontId="18" fillId="0" borderId="0" xfId="0" applyNumberFormat="1" applyFont="1" applyBorder="1" applyAlignment="1">
      <alignment vertical="top"/>
    </xf>
    <xf numFmtId="168" fontId="18" fillId="0" borderId="0" xfId="61" applyFont="1" applyBorder="1" applyAlignment="1">
      <alignment vertical="top"/>
    </xf>
    <xf numFmtId="170" fontId="22" fillId="0" borderId="0" xfId="0" applyNumberFormat="1" applyFont="1" applyBorder="1" applyAlignment="1">
      <alignment vertical="top"/>
    </xf>
    <xf numFmtId="170" fontId="18" fillId="0" borderId="0" xfId="0" applyNumberFormat="1" applyFont="1" applyFill="1" applyBorder="1" applyAlignment="1">
      <alignment vertical="top"/>
    </xf>
    <xf numFmtId="0" fontId="27" fillId="0" borderId="0" xfId="0" applyFont="1" applyBorder="1" applyAlignment="1">
      <alignment vertical="top"/>
    </xf>
    <xf numFmtId="168" fontId="22" fillId="0" borderId="0" xfId="61" applyFont="1" applyBorder="1" applyAlignment="1">
      <alignment vertical="top"/>
    </xf>
    <xf numFmtId="164" fontId="18" fillId="49" borderId="0" xfId="0" applyNumberFormat="1" applyFont="1" applyFill="1" applyAlignment="1">
      <alignment vertical="top"/>
    </xf>
    <xf numFmtId="0" fontId="28" fillId="0" borderId="0" xfId="0" applyFont="1" applyAlignment="1">
      <alignment vertical="top"/>
    </xf>
    <xf numFmtId="0" fontId="23" fillId="0" borderId="0" xfId="0" applyFont="1" applyBorder="1" applyAlignment="1">
      <alignment vertical="top"/>
    </xf>
    <xf numFmtId="168" fontId="18" fillId="0" borderId="0" xfId="61" applyFont="1" applyFill="1" applyAlignment="1">
      <alignment vertical="top"/>
    </xf>
    <xf numFmtId="167" fontId="24" fillId="0" borderId="0" xfId="60" applyFont="1" applyFill="1" applyAlignment="1">
      <alignment vertical="top"/>
    </xf>
    <xf numFmtId="164" fontId="18" fillId="49" borderId="0" xfId="0" applyNumberFormat="1" applyFont="1" applyFill="1" applyAlignment="1">
      <alignment horizontal="right" vertical="top"/>
    </xf>
    <xf numFmtId="0" fontId="14" fillId="0" borderId="0" xfId="0" applyFont="1" applyAlignment="1">
      <alignment vertical="top"/>
    </xf>
    <xf numFmtId="0" fontId="14" fillId="48" borderId="0" xfId="0" applyFont="1" applyFill="1" applyAlignment="1">
      <alignment vertical="top"/>
    </xf>
    <xf numFmtId="0" fontId="14" fillId="0" borderId="0" xfId="0" applyFont="1" applyFill="1" applyAlignment="1">
      <alignment vertical="top"/>
    </xf>
    <xf numFmtId="0" fontId="25" fillId="0" borderId="0" xfId="0" applyFont="1" applyAlignment="1">
      <alignment vertical="top"/>
    </xf>
    <xf numFmtId="167" fontId="24" fillId="0" borderId="0" xfId="60" applyFont="1" applyAlignment="1">
      <alignment vertical="top"/>
    </xf>
    <xf numFmtId="0" fontId="24" fillId="0" borderId="0" xfId="0" applyFont="1" applyBorder="1" applyAlignment="1">
      <alignment vertical="top"/>
    </xf>
    <xf numFmtId="171" fontId="18" fillId="0" borderId="0" xfId="0" applyNumberFormat="1" applyFont="1" applyFill="1" applyAlignment="1">
      <alignment vertical="top"/>
    </xf>
    <xf numFmtId="168" fontId="14" fillId="0" borderId="0" xfId="61" applyFont="1" applyFill="1" applyAlignment="1">
      <alignment vertical="top"/>
    </xf>
    <xf numFmtId="168" fontId="14" fillId="48" borderId="0" xfId="61" applyFont="1" applyFill="1" applyAlignment="1">
      <alignment vertical="top"/>
    </xf>
    <xf numFmtId="172" fontId="18" fillId="0" borderId="0" xfId="0" applyNumberFormat="1" applyFont="1" applyFill="1" applyAlignment="1">
      <alignment vertical="top"/>
    </xf>
    <xf numFmtId="173" fontId="18" fillId="0" borderId="0" xfId="62" applyNumberFormat="1" applyFont="1" applyAlignment="1">
      <alignment vertical="top"/>
    </xf>
    <xf numFmtId="173" fontId="18" fillId="44" borderId="0" xfId="62" applyNumberFormat="1" applyFont="1" applyFill="1" applyAlignment="1">
      <alignment vertical="top"/>
    </xf>
    <xf numFmtId="0" fontId="18" fillId="0" borderId="0" xfId="0" applyFont="1" applyAlignment="1">
      <alignment vertical="top"/>
    </xf>
    <xf numFmtId="0" fontId="18" fillId="0" borderId="0" xfId="0" applyFont="1" applyAlignment="1">
      <alignment horizontal="right" vertical="top"/>
    </xf>
    <xf numFmtId="0" fontId="23" fillId="0" borderId="0" xfId="0" applyFont="1" applyFill="1" applyAlignment="1">
      <alignment vertical="top"/>
    </xf>
    <xf numFmtId="0" fontId="18" fillId="0" borderId="0" xfId="0" applyFont="1" applyFill="1" applyBorder="1" applyAlignment="1">
      <alignment vertical="top"/>
    </xf>
    <xf numFmtId="0" fontId="18" fillId="0" borderId="0" xfId="0" applyFont="1" applyFill="1" applyAlignment="1">
      <alignment vertical="top"/>
    </xf>
    <xf numFmtId="0" fontId="18" fillId="42" borderId="0" xfId="0" applyFont="1" applyFill="1" applyAlignment="1">
      <alignment vertical="top"/>
    </xf>
    <xf numFmtId="43" fontId="18" fillId="0" borderId="0" xfId="1" applyFont="1" applyBorder="1" applyAlignment="1">
      <alignment vertical="top"/>
    </xf>
    <xf numFmtId="0" fontId="0" fillId="0" borderId="0" xfId="0"/>
    <xf numFmtId="168" fontId="18" fillId="0" borderId="0" xfId="61" applyFont="1" applyFill="1" applyBorder="1" applyAlignment="1">
      <alignment vertical="top"/>
    </xf>
    <xf numFmtId="0" fontId="24" fillId="0" borderId="0" xfId="0" applyFont="1" applyFill="1" applyBorder="1" applyAlignment="1">
      <alignment vertical="top"/>
    </xf>
    <xf numFmtId="0" fontId="22" fillId="0" borderId="0" xfId="66" applyNumberFormat="1" applyFill="1" applyBorder="1">
      <alignment vertical="top"/>
    </xf>
    <xf numFmtId="0" fontId="22" fillId="0" borderId="0" xfId="66" applyNumberFormat="1" applyBorder="1">
      <alignment vertical="top"/>
    </xf>
    <xf numFmtId="0" fontId="22" fillId="0" borderId="0" xfId="66" applyNumberFormat="1" applyFill="1">
      <alignment vertical="top"/>
    </xf>
    <xf numFmtId="0" fontId="22" fillId="0" borderId="0" xfId="66" applyNumberFormat="1">
      <alignment vertical="top"/>
    </xf>
    <xf numFmtId="0" fontId="23" fillId="0" borderId="0" xfId="67" applyFill="1" applyBorder="1">
      <alignment vertical="top"/>
    </xf>
    <xf numFmtId="168" fontId="18" fillId="0" borderId="0" xfId="68" applyNumberFormat="1" applyBorder="1">
      <alignment horizontal="right" vertical="top"/>
    </xf>
    <xf numFmtId="0" fontId="18" fillId="0" borderId="0" xfId="68" applyBorder="1">
      <alignment horizontal="right" vertical="top"/>
    </xf>
    <xf numFmtId="170" fontId="18" fillId="0" borderId="0" xfId="68" applyNumberFormat="1" applyBorder="1">
      <alignment horizontal="right" vertical="top"/>
    </xf>
    <xf numFmtId="0" fontId="18" fillId="0" borderId="0" xfId="68">
      <alignment horizontal="right" vertical="top"/>
    </xf>
    <xf numFmtId="0" fontId="18" fillId="0" borderId="0" xfId="68" applyFill="1" applyBorder="1">
      <alignment horizontal="right" vertical="top"/>
    </xf>
    <xf numFmtId="0" fontId="18" fillId="0" borderId="0" xfId="68" applyFill="1">
      <alignment horizontal="right" vertical="top"/>
    </xf>
    <xf numFmtId="168" fontId="23" fillId="0" borderId="0" xfId="67" applyNumberFormat="1" applyBorder="1">
      <alignment vertical="top"/>
    </xf>
    <xf numFmtId="0" fontId="23" fillId="0" borderId="0" xfId="67" applyBorder="1">
      <alignment vertical="top"/>
    </xf>
    <xf numFmtId="170" fontId="23" fillId="0" borderId="0" xfId="67" applyNumberFormat="1" applyBorder="1">
      <alignment vertical="top"/>
    </xf>
    <xf numFmtId="0" fontId="23" fillId="0" borderId="0" xfId="67" applyFill="1">
      <alignment vertical="top"/>
    </xf>
    <xf numFmtId="168" fontId="22" fillId="0" borderId="0" xfId="66" applyBorder="1">
      <alignment vertical="top"/>
    </xf>
    <xf numFmtId="170" fontId="22" fillId="0" borderId="0" xfId="66" applyNumberFormat="1" applyBorder="1">
      <alignment vertical="top"/>
    </xf>
    <xf numFmtId="168" fontId="22" fillId="0" borderId="0" xfId="66" applyFont="1" applyBorder="1">
      <alignment vertical="top"/>
    </xf>
    <xf numFmtId="168" fontId="23" fillId="0" borderId="0" xfId="67" applyNumberFormat="1" applyFont="1" applyBorder="1">
      <alignment vertical="top"/>
    </xf>
    <xf numFmtId="168" fontId="18" fillId="0" borderId="0" xfId="68" applyNumberFormat="1" applyFont="1" applyBorder="1">
      <alignment horizontal="right" vertical="top"/>
    </xf>
    <xf numFmtId="0" fontId="22" fillId="0" borderId="0" xfId="66" applyNumberFormat="1" applyFont="1" applyBorder="1">
      <alignment vertical="top"/>
    </xf>
    <xf numFmtId="0" fontId="23" fillId="0" borderId="0" xfId="67" applyFont="1" applyBorder="1">
      <alignment vertical="top"/>
    </xf>
    <xf numFmtId="0" fontId="18" fillId="0" borderId="0" xfId="68" applyFont="1" applyBorder="1">
      <alignment horizontal="right" vertical="top"/>
    </xf>
    <xf numFmtId="0" fontId="22" fillId="0" borderId="0" xfId="66" applyNumberFormat="1" applyFont="1">
      <alignment vertical="top"/>
    </xf>
    <xf numFmtId="0" fontId="23" fillId="0" borderId="0" xfId="67" applyFont="1">
      <alignment vertical="top"/>
    </xf>
    <xf numFmtId="0" fontId="18" fillId="0" borderId="0" xfId="68" applyFont="1">
      <alignment horizontal="right" vertical="top"/>
    </xf>
    <xf numFmtId="170" fontId="22" fillId="0" borderId="0" xfId="66" applyNumberFormat="1" applyFont="1" applyBorder="1">
      <alignment vertical="top"/>
    </xf>
    <xf numFmtId="170" fontId="23" fillId="0" borderId="0" xfId="67" applyNumberFormat="1" applyFont="1" applyBorder="1">
      <alignment vertical="top"/>
    </xf>
    <xf numFmtId="170" fontId="18" fillId="0" borderId="0" xfId="68" applyNumberFormat="1" applyFont="1" applyBorder="1">
      <alignment horizontal="right" vertical="top"/>
    </xf>
    <xf numFmtId="0" fontId="23" fillId="0" borderId="0" xfId="67" applyFont="1" applyFill="1">
      <alignment vertical="top"/>
    </xf>
    <xf numFmtId="0" fontId="22" fillId="0" borderId="0" xfId="66" applyNumberFormat="1" applyFont="1" applyFill="1">
      <alignment vertical="top"/>
    </xf>
    <xf numFmtId="0" fontId="18" fillId="0" borderId="0" xfId="68" applyFont="1" applyFill="1">
      <alignment horizontal="right" vertical="top"/>
    </xf>
    <xf numFmtId="0" fontId="1" fillId="0" borderId="0" xfId="0" applyFont="1" applyBorder="1" applyAlignment="1">
      <alignment vertical="top"/>
    </xf>
    <xf numFmtId="173" fontId="22" fillId="0" borderId="0" xfId="66" applyNumberFormat="1" applyFont="1" applyFill="1">
      <alignment vertical="top"/>
    </xf>
    <xf numFmtId="173" fontId="23" fillId="0" borderId="0" xfId="67" applyNumberFormat="1" applyFont="1">
      <alignment vertical="top"/>
    </xf>
    <xf numFmtId="173" fontId="18" fillId="0" borderId="0" xfId="68" applyNumberFormat="1" applyFont="1">
      <alignment horizontal="right" vertical="top"/>
    </xf>
    <xf numFmtId="172" fontId="22" fillId="0" borderId="0" xfId="66" applyNumberFormat="1" applyFont="1" applyFill="1">
      <alignment vertical="top"/>
    </xf>
    <xf numFmtId="172" fontId="23" fillId="0" borderId="0" xfId="67" applyNumberFormat="1" applyFont="1" applyFill="1">
      <alignment vertical="top"/>
    </xf>
    <xf numFmtId="172" fontId="18" fillId="0" borderId="0" xfId="68" applyNumberFormat="1" applyFont="1" applyFill="1">
      <alignment horizontal="right" vertical="top"/>
    </xf>
    <xf numFmtId="167" fontId="22" fillId="0" borderId="0" xfId="66" applyNumberFormat="1" applyFont="1" applyFill="1">
      <alignment vertical="top"/>
    </xf>
    <xf numFmtId="167" fontId="23" fillId="0" borderId="0" xfId="67" applyNumberFormat="1" applyFont="1">
      <alignment vertical="top"/>
    </xf>
    <xf numFmtId="167" fontId="18" fillId="0" borderId="0" xfId="68" applyNumberFormat="1" applyFont="1">
      <alignment horizontal="right" vertical="top"/>
    </xf>
    <xf numFmtId="168" fontId="22" fillId="0" borderId="0" xfId="66" applyFont="1" applyFill="1">
      <alignment vertical="top"/>
    </xf>
    <xf numFmtId="168" fontId="23" fillId="0" borderId="0" xfId="67" applyNumberFormat="1" applyFont="1">
      <alignment vertical="top"/>
    </xf>
    <xf numFmtId="168" fontId="18" fillId="0" borderId="0" xfId="68" applyNumberFormat="1" applyFont="1">
      <alignment horizontal="right" vertical="top"/>
    </xf>
    <xf numFmtId="168" fontId="23" fillId="0" borderId="0" xfId="67" applyNumberFormat="1" applyFont="1" applyFill="1">
      <alignment vertical="top"/>
    </xf>
    <xf numFmtId="168" fontId="18" fillId="0" borderId="0" xfId="68" applyNumberFormat="1" applyFont="1" applyFill="1">
      <alignment horizontal="right" vertical="top"/>
    </xf>
    <xf numFmtId="171" fontId="22" fillId="0" borderId="0" xfId="66" applyNumberFormat="1" applyFont="1" applyFill="1">
      <alignment vertical="top"/>
    </xf>
    <xf numFmtId="171" fontId="23" fillId="0" borderId="0" xfId="67" applyNumberFormat="1" applyFont="1" applyFill="1">
      <alignment vertical="top"/>
    </xf>
    <xf numFmtId="171" fontId="18" fillId="0" borderId="0" xfId="68" applyNumberFormat="1" applyFont="1" applyFill="1">
      <alignment horizontal="right" vertical="top"/>
    </xf>
    <xf numFmtId="0" fontId="22" fillId="0" borderId="0" xfId="66" applyNumberFormat="1" applyFont="1" applyFill="1" applyBorder="1">
      <alignment vertical="top"/>
    </xf>
    <xf numFmtId="167" fontId="23" fillId="0" borderId="0" xfId="67" applyNumberFormat="1" applyFont="1" applyFill="1">
      <alignment vertical="top"/>
    </xf>
    <xf numFmtId="167" fontId="18" fillId="0" borderId="0" xfId="68" applyNumberFormat="1" applyFont="1" applyFill="1">
      <alignment horizontal="right" vertical="top"/>
    </xf>
    <xf numFmtId="168" fontId="1" fillId="0" borderId="0" xfId="61" applyFont="1" applyAlignment="1">
      <alignment vertical="top"/>
    </xf>
    <xf numFmtId="167" fontId="22" fillId="0" borderId="0" xfId="66" applyNumberFormat="1" applyFont="1">
      <alignment vertical="top"/>
    </xf>
    <xf numFmtId="168" fontId="1" fillId="0" borderId="0" xfId="61" applyFont="1" applyFill="1" applyAlignment="1">
      <alignment vertical="top"/>
    </xf>
    <xf numFmtId="168" fontId="1" fillId="48" borderId="0" xfId="61" applyFont="1" applyFill="1" applyAlignment="1">
      <alignment vertical="top"/>
    </xf>
    <xf numFmtId="168" fontId="22" fillId="0" borderId="0" xfId="66" applyFont="1">
      <alignment vertical="top"/>
    </xf>
    <xf numFmtId="43" fontId="1" fillId="0" borderId="0" xfId="1" applyFont="1"/>
    <xf numFmtId="43" fontId="18" fillId="0" borderId="0" xfId="1" applyFont="1" applyAlignment="1">
      <alignment vertical="top"/>
    </xf>
    <xf numFmtId="43" fontId="18" fillId="0" borderId="0" xfId="1" applyFont="1" applyFill="1" applyAlignment="1">
      <alignment vertical="top"/>
    </xf>
    <xf numFmtId="43" fontId="1" fillId="0" borderId="0" xfId="1" applyFont="1" applyBorder="1" applyAlignment="1">
      <alignment vertical="top"/>
    </xf>
    <xf numFmtId="43" fontId="24" fillId="0" borderId="0" xfId="1" applyFont="1" applyAlignment="1">
      <alignment vertical="top"/>
    </xf>
    <xf numFmtId="43" fontId="14" fillId="0" borderId="0" xfId="1" applyFont="1" applyFill="1" applyAlignment="1">
      <alignment vertical="top"/>
    </xf>
    <xf numFmtId="43" fontId="24" fillId="0" borderId="0" xfId="1" applyFont="1" applyFill="1" applyAlignment="1">
      <alignment vertical="top"/>
    </xf>
    <xf numFmtId="43" fontId="1" fillId="0" borderId="0" xfId="1" applyFont="1" applyAlignment="1">
      <alignment vertical="top"/>
    </xf>
    <xf numFmtId="43" fontId="25" fillId="0" borderId="0" xfId="1" applyFont="1" applyAlignment="1">
      <alignment vertical="top"/>
    </xf>
    <xf numFmtId="43" fontId="1" fillId="0" borderId="0" xfId="1" applyFont="1" applyFill="1" applyAlignment="1">
      <alignment vertical="top"/>
    </xf>
    <xf numFmtId="169" fontId="18" fillId="48" borderId="0" xfId="62" applyFont="1" applyFill="1" applyAlignment="1">
      <alignment vertical="top"/>
    </xf>
    <xf numFmtId="43" fontId="24" fillId="0" borderId="0" xfId="0" applyNumberFormat="1" applyFont="1" applyFill="1" applyAlignment="1">
      <alignment vertical="top"/>
    </xf>
    <xf numFmtId="0" fontId="29" fillId="0" borderId="0" xfId="59" applyFont="1">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29" fillId="0" borderId="0" xfId="67" applyNumberFormat="1" applyFont="1" applyBorder="1">
      <alignment vertical="top"/>
    </xf>
    <xf numFmtId="0" fontId="29" fillId="0" borderId="0" xfId="67" applyFont="1" applyBorder="1">
      <alignment vertical="top"/>
    </xf>
    <xf numFmtId="170" fontId="29" fillId="0" borderId="0" xfId="67" applyNumberFormat="1" applyFont="1" applyBorder="1">
      <alignment vertical="top"/>
    </xf>
    <xf numFmtId="0" fontId="29" fillId="0" borderId="0" xfId="67" applyFont="1" applyFill="1">
      <alignment vertical="top"/>
    </xf>
    <xf numFmtId="0" fontId="29" fillId="0" borderId="0" xfId="67" applyFont="1" applyFill="1" applyBorder="1">
      <alignment vertical="top"/>
    </xf>
    <xf numFmtId="172" fontId="29" fillId="0" borderId="0" xfId="67" applyNumberFormat="1" applyFont="1" applyFill="1">
      <alignment vertical="top"/>
    </xf>
    <xf numFmtId="168" fontId="30" fillId="0" borderId="0" xfId="67" applyNumberFormat="1" applyFont="1" applyBorder="1">
      <alignment vertical="top"/>
    </xf>
    <xf numFmtId="0" fontId="30" fillId="0" borderId="0" xfId="67" applyFont="1" applyBorder="1">
      <alignment vertical="top"/>
    </xf>
    <xf numFmtId="170" fontId="30" fillId="0" borderId="0" xfId="67" applyNumberFormat="1" applyFont="1" applyBorder="1">
      <alignment vertical="top"/>
    </xf>
    <xf numFmtId="0" fontId="30" fillId="0" borderId="0" xfId="67" applyFont="1" applyFill="1">
      <alignment vertical="top"/>
    </xf>
    <xf numFmtId="0" fontId="30" fillId="0" borderId="0" xfId="0" applyFont="1" applyFill="1" applyAlignment="1">
      <alignment vertical="top"/>
    </xf>
    <xf numFmtId="164" fontId="31" fillId="33" borderId="0" xfId="0" applyNumberFormat="1" applyFont="1" applyFill="1" applyAlignment="1">
      <alignment vertical="top"/>
    </xf>
    <xf numFmtId="0" fontId="32" fillId="33" borderId="0" xfId="67" applyFont="1" applyFill="1">
      <alignment vertical="top"/>
    </xf>
    <xf numFmtId="0" fontId="33" fillId="33" borderId="0" xfId="67" applyFont="1" applyFill="1">
      <alignment vertical="top"/>
    </xf>
    <xf numFmtId="0" fontId="34" fillId="33" borderId="0" xfId="68" applyFont="1" applyFill="1">
      <alignment horizontal="right" vertical="top"/>
    </xf>
    <xf numFmtId="0" fontId="35" fillId="33" borderId="0" xfId="0" applyFont="1" applyFill="1"/>
    <xf numFmtId="0" fontId="35" fillId="0" borderId="0" xfId="0" applyFont="1" applyFill="1"/>
    <xf numFmtId="0" fontId="29" fillId="0" borderId="0" xfId="67" applyFont="1">
      <alignment vertical="top"/>
    </xf>
    <xf numFmtId="173" fontId="29" fillId="0" borderId="0" xfId="67" applyNumberFormat="1" applyFont="1">
      <alignment vertical="top"/>
    </xf>
    <xf numFmtId="167" fontId="29" fillId="0" borderId="0" xfId="67" applyNumberFormat="1" applyFont="1">
      <alignment vertical="top"/>
    </xf>
    <xf numFmtId="168" fontId="29" fillId="0" borderId="0" xfId="67" applyNumberFormat="1" applyFont="1">
      <alignment vertical="top"/>
    </xf>
    <xf numFmtId="168" fontId="29" fillId="0" borderId="0" xfId="67" applyNumberFormat="1" applyFont="1" applyFill="1">
      <alignment vertical="top"/>
    </xf>
    <xf numFmtId="171" fontId="29" fillId="0" borderId="0" xfId="67" applyNumberFormat="1" applyFont="1" applyFill="1">
      <alignment vertical="top"/>
    </xf>
    <xf numFmtId="167" fontId="29" fillId="0" borderId="0" xfId="67" applyNumberFormat="1" applyFont="1" applyFill="1">
      <alignment vertical="top"/>
    </xf>
    <xf numFmtId="0" fontId="35" fillId="0" borderId="0" xfId="0" applyFont="1"/>
    <xf numFmtId="43" fontId="35" fillId="33" borderId="0" xfId="1" applyFont="1" applyFill="1"/>
    <xf numFmtId="0" fontId="33" fillId="33" borderId="0" xfId="0" applyFont="1" applyFill="1"/>
    <xf numFmtId="164" fontId="22" fillId="0" borderId="0" xfId="66" applyNumberFormat="1" applyFont="1" applyFill="1">
      <alignment vertical="top"/>
    </xf>
    <xf numFmtId="0" fontId="22" fillId="0" borderId="12" xfId="66" applyNumberFormat="1" applyFill="1" applyBorder="1">
      <alignment vertical="top"/>
    </xf>
    <xf numFmtId="0" fontId="23" fillId="0" borderId="12" xfId="67" applyFill="1" applyBorder="1">
      <alignment vertical="top"/>
    </xf>
    <xf numFmtId="0" fontId="29" fillId="0" borderId="12" xfId="67" applyFont="1" applyFill="1" applyBorder="1">
      <alignment vertical="top"/>
    </xf>
    <xf numFmtId="0" fontId="18" fillId="0" borderId="12" xfId="68" applyFill="1" applyBorder="1">
      <alignment horizontal="right" vertical="top"/>
    </xf>
    <xf numFmtId="0" fontId="18" fillId="0" borderId="12" xfId="0" applyFont="1" applyFill="1" applyBorder="1" applyAlignment="1">
      <alignment vertical="top"/>
    </xf>
    <xf numFmtId="0" fontId="22" fillId="53" borderId="0" xfId="0" applyFont="1" applyFill="1" applyBorder="1" applyAlignment="1">
      <alignment vertical="top"/>
    </xf>
    <xf numFmtId="0" fontId="18" fillId="53" borderId="0" xfId="0" applyFont="1" applyFill="1" applyBorder="1" applyAlignment="1">
      <alignment vertical="top"/>
    </xf>
    <xf numFmtId="0" fontId="22" fillId="53" borderId="0" xfId="0" applyFont="1" applyFill="1" applyBorder="1" applyAlignment="1">
      <alignment horizontal="left" vertical="top"/>
    </xf>
    <xf numFmtId="0" fontId="18" fillId="54" borderId="0" xfId="0" applyFont="1" applyFill="1" applyBorder="1" applyAlignment="1">
      <alignment horizontal="left" vertical="top"/>
    </xf>
    <xf numFmtId="0" fontId="18" fillId="0" borderId="0" xfId="0" applyFont="1" applyAlignment="1">
      <alignment horizontal="left" vertical="top"/>
    </xf>
    <xf numFmtId="0" fontId="18" fillId="55" borderId="0" xfId="0" applyFont="1" applyFill="1" applyBorder="1" applyAlignment="1">
      <alignment horizontal="left" vertical="top"/>
    </xf>
    <xf numFmtId="0" fontId="18" fillId="56" borderId="0" xfId="0" applyFont="1" applyFill="1" applyBorder="1" applyAlignment="1">
      <alignment horizontal="left" vertical="top"/>
    </xf>
    <xf numFmtId="0" fontId="18" fillId="45" borderId="0" xfId="0" applyFont="1" applyFill="1" applyBorder="1" applyAlignment="1">
      <alignment horizontal="left" vertical="top"/>
    </xf>
    <xf numFmtId="0" fontId="18" fillId="43" borderId="0" xfId="0" applyFont="1" applyFill="1" applyBorder="1" applyAlignment="1">
      <alignment horizontal="left" vertical="top"/>
    </xf>
    <xf numFmtId="0" fontId="18" fillId="54" borderId="0" xfId="0" applyFont="1" applyFill="1" applyBorder="1" applyAlignment="1">
      <alignment vertical="top"/>
    </xf>
    <xf numFmtId="0" fontId="18" fillId="55" borderId="0" xfId="0" applyFont="1" applyFill="1" applyBorder="1" applyAlignment="1">
      <alignment vertical="top"/>
    </xf>
    <xf numFmtId="0" fontId="24" fillId="55" borderId="0" xfId="0" applyFont="1" applyFill="1" applyBorder="1" applyAlignment="1">
      <alignment vertical="top"/>
    </xf>
    <xf numFmtId="0" fontId="18" fillId="56" borderId="0" xfId="0" applyFont="1" applyFill="1" applyBorder="1" applyAlignment="1">
      <alignment vertical="top"/>
    </xf>
    <xf numFmtId="0" fontId="18" fillId="57" borderId="0" xfId="0" applyFont="1" applyFill="1" applyBorder="1" applyAlignment="1">
      <alignment vertical="top"/>
    </xf>
    <xf numFmtId="0" fontId="22" fillId="0" borderId="0" xfId="0" applyFont="1" applyFill="1" applyAlignment="1">
      <alignment vertical="top"/>
    </xf>
    <xf numFmtId="0" fontId="18" fillId="58" borderId="0" xfId="0" applyFont="1" applyFill="1" applyBorder="1" applyAlignment="1">
      <alignment vertical="top"/>
    </xf>
    <xf numFmtId="0" fontId="18" fillId="59" borderId="0" xfId="0" applyFont="1" applyFill="1" applyBorder="1" applyAlignment="1">
      <alignment vertical="top"/>
    </xf>
    <xf numFmtId="0" fontId="18" fillId="60" borderId="0" xfId="0" applyFont="1" applyFill="1" applyBorder="1" applyAlignment="1">
      <alignment vertical="top"/>
    </xf>
    <xf numFmtId="0" fontId="18" fillId="47" borderId="0" xfId="0" applyFont="1" applyFill="1" applyBorder="1" applyAlignment="1">
      <alignment vertical="top"/>
    </xf>
    <xf numFmtId="0" fontId="18" fillId="0" borderId="0" xfId="0" applyNumberFormat="1" applyFont="1" applyAlignment="1">
      <alignment vertical="top"/>
    </xf>
    <xf numFmtId="0" fontId="22" fillId="61" borderId="0" xfId="66" applyNumberFormat="1" applyFill="1">
      <alignment vertical="top"/>
    </xf>
    <xf numFmtId="0" fontId="23" fillId="61" borderId="0" xfId="67" applyFill="1">
      <alignment vertical="top"/>
    </xf>
    <xf numFmtId="0" fontId="29" fillId="61" borderId="0" xfId="67" applyFont="1" applyFill="1">
      <alignment vertical="top"/>
    </xf>
    <xf numFmtId="0" fontId="18" fillId="61" borderId="0" xfId="68" applyFill="1">
      <alignment horizontal="right" vertical="top"/>
    </xf>
    <xf numFmtId="0" fontId="18" fillId="61" borderId="0" xfId="0" applyNumberFormat="1" applyFont="1" applyFill="1" applyAlignment="1">
      <alignment vertical="top"/>
    </xf>
    <xf numFmtId="0" fontId="18" fillId="61" borderId="0" xfId="0" applyFont="1" applyFill="1" applyAlignment="1">
      <alignment vertical="top"/>
    </xf>
    <xf numFmtId="0" fontId="18" fillId="0" borderId="0" xfId="0" applyNumberFormat="1" applyFont="1" applyFill="1" applyBorder="1" applyAlignment="1">
      <alignment vertical="top"/>
    </xf>
    <xf numFmtId="43" fontId="18" fillId="0" borderId="0" xfId="1" applyFont="1" applyFill="1" applyBorder="1" applyAlignment="1">
      <alignment vertical="top"/>
    </xf>
    <xf numFmtId="43" fontId="18" fillId="0" borderId="12" xfId="1" applyFont="1" applyFill="1" applyBorder="1" applyAlignment="1">
      <alignment vertical="top"/>
    </xf>
    <xf numFmtId="43" fontId="22" fillId="0" borderId="0" xfId="1" applyFont="1" applyFill="1" applyAlignment="1">
      <alignment vertical="top"/>
    </xf>
    <xf numFmtId="43" fontId="23" fillId="0" borderId="0" xfId="1" applyFont="1" applyFill="1" applyAlignment="1">
      <alignment vertical="top"/>
    </xf>
    <xf numFmtId="43" fontId="29" fillId="0" borderId="0" xfId="1" applyFont="1" applyFill="1" applyAlignment="1">
      <alignment vertical="top"/>
    </xf>
    <xf numFmtId="43" fontId="18" fillId="0" borderId="0" xfId="1" applyFont="1" applyFill="1" applyAlignment="1">
      <alignment horizontal="right" vertical="top"/>
    </xf>
    <xf numFmtId="43" fontId="18" fillId="0" borderId="0" xfId="0" applyNumberFormat="1" applyFont="1" applyAlignment="1">
      <alignment vertical="top"/>
    </xf>
    <xf numFmtId="43" fontId="18" fillId="61" borderId="0" xfId="1" applyFont="1" applyFill="1" applyAlignment="1">
      <alignment vertical="top"/>
    </xf>
    <xf numFmtId="43" fontId="18" fillId="0" borderId="0" xfId="1" applyNumberFormat="1" applyFont="1" applyFill="1" applyBorder="1" applyAlignment="1">
      <alignment vertical="top"/>
    </xf>
    <xf numFmtId="43" fontId="22" fillId="0" borderId="0" xfId="1" applyFont="1" applyAlignment="1">
      <alignment vertical="top"/>
    </xf>
    <xf numFmtId="43" fontId="18" fillId="0" borderId="0" xfId="1" applyFont="1" applyAlignment="1">
      <alignment horizontal="right" vertical="top"/>
    </xf>
    <xf numFmtId="0" fontId="18" fillId="0" borderId="0" xfId="0" applyNumberFormat="1" applyFont="1" applyFill="1" applyAlignment="1">
      <alignment vertical="top"/>
    </xf>
    <xf numFmtId="10" fontId="18" fillId="0" borderId="0" xfId="2" applyFont="1" applyAlignment="1">
      <alignment vertical="top"/>
    </xf>
    <xf numFmtId="10" fontId="22" fillId="0" borderId="0" xfId="2" applyFont="1" applyAlignment="1">
      <alignment vertical="top"/>
    </xf>
    <xf numFmtId="10" fontId="23" fillId="0" borderId="0" xfId="2" applyFont="1" applyFill="1" applyAlignment="1">
      <alignment vertical="top"/>
    </xf>
    <xf numFmtId="10" fontId="29" fillId="0" borderId="0" xfId="2" applyFont="1" applyFill="1" applyAlignment="1">
      <alignment vertical="top"/>
    </xf>
    <xf numFmtId="10" fontId="18" fillId="0" borderId="0" xfId="2" applyFont="1" applyAlignment="1">
      <alignment horizontal="right" vertical="top"/>
    </xf>
    <xf numFmtId="10" fontId="18" fillId="0" borderId="0" xfId="2" applyFont="1" applyFill="1" applyAlignment="1">
      <alignment vertical="top"/>
    </xf>
    <xf numFmtId="10" fontId="18" fillId="0" borderId="0" xfId="0" applyNumberFormat="1" applyFont="1" applyAlignment="1">
      <alignment vertical="top"/>
    </xf>
    <xf numFmtId="0" fontId="18" fillId="0" borderId="0" xfId="1" applyNumberFormat="1" applyFont="1" applyFill="1" applyAlignment="1">
      <alignment vertical="top"/>
    </xf>
    <xf numFmtId="174" fontId="22" fillId="0" borderId="0" xfId="1" applyNumberFormat="1" applyFont="1" applyAlignment="1">
      <alignment vertical="top"/>
    </xf>
    <xf numFmtId="174" fontId="23" fillId="0" borderId="0" xfId="1" applyNumberFormat="1" applyFont="1" applyFill="1" applyAlignment="1">
      <alignment vertical="top"/>
    </xf>
    <xf numFmtId="174" fontId="29" fillId="0" borderId="0" xfId="1" applyNumberFormat="1" applyFont="1" applyFill="1" applyAlignment="1">
      <alignment vertical="top"/>
    </xf>
    <xf numFmtId="174" fontId="18" fillId="0" borderId="0" xfId="1" applyNumberFormat="1" applyFont="1" applyAlignment="1">
      <alignment horizontal="right" vertical="top"/>
    </xf>
    <xf numFmtId="174" fontId="18" fillId="0" borderId="0" xfId="1" applyNumberFormat="1" applyFont="1" applyAlignment="1">
      <alignment vertical="top"/>
    </xf>
    <xf numFmtId="174" fontId="18" fillId="0" borderId="0" xfId="1" applyNumberFormat="1" applyFont="1" applyFill="1" applyAlignment="1">
      <alignment vertical="top"/>
    </xf>
    <xf numFmtId="175" fontId="18" fillId="0" borderId="0" xfId="1" applyNumberFormat="1" applyFont="1" applyAlignment="1">
      <alignment vertical="top"/>
    </xf>
    <xf numFmtId="176" fontId="18" fillId="0" borderId="0" xfId="0" applyNumberFormat="1" applyFont="1" applyAlignment="1">
      <alignment vertical="top"/>
    </xf>
    <xf numFmtId="0" fontId="23" fillId="0" borderId="0" xfId="67" applyNumberFormat="1" applyFill="1">
      <alignment vertical="top"/>
    </xf>
    <xf numFmtId="0" fontId="29" fillId="0" borderId="0" xfId="67" applyNumberFormat="1" applyFont="1" applyFill="1">
      <alignment vertical="top"/>
    </xf>
    <xf numFmtId="0" fontId="18" fillId="0" borderId="0" xfId="68" applyNumberFormat="1">
      <alignment horizontal="right" vertical="top"/>
    </xf>
    <xf numFmtId="0" fontId="36" fillId="0" borderId="0" xfId="66" applyNumberFormat="1" applyFont="1" applyFill="1">
      <alignment vertical="top"/>
    </xf>
    <xf numFmtId="0" fontId="37" fillId="0" borderId="0" xfId="67" applyFont="1" applyFill="1">
      <alignment vertical="top"/>
    </xf>
    <xf numFmtId="0" fontId="38" fillId="0" borderId="0" xfId="67" applyFont="1" applyFill="1">
      <alignment vertical="top"/>
    </xf>
    <xf numFmtId="0" fontId="28" fillId="0" borderId="0" xfId="68" applyFont="1" applyFill="1">
      <alignment horizontal="right" vertical="top"/>
    </xf>
    <xf numFmtId="0" fontId="28" fillId="0" borderId="0" xfId="0" applyFont="1" applyFill="1" applyAlignment="1">
      <alignment vertical="top"/>
    </xf>
    <xf numFmtId="10" fontId="28" fillId="0" borderId="0" xfId="0" applyNumberFormat="1" applyFont="1" applyFill="1" applyAlignment="1">
      <alignment vertical="top"/>
    </xf>
    <xf numFmtId="0" fontId="36" fillId="0" borderId="11" xfId="66" applyNumberFormat="1" applyFont="1" applyFill="1" applyBorder="1">
      <alignment vertical="top"/>
    </xf>
    <xf numFmtId="0" fontId="37" fillId="0" borderId="11" xfId="67" applyFont="1" applyFill="1" applyBorder="1">
      <alignment vertical="top"/>
    </xf>
    <xf numFmtId="0" fontId="38" fillId="0" borderId="11" xfId="67" applyFont="1" applyFill="1" applyBorder="1">
      <alignment vertical="top"/>
    </xf>
    <xf numFmtId="0" fontId="28" fillId="0" borderId="11" xfId="68" applyFont="1" applyFill="1" applyBorder="1">
      <alignment horizontal="right" vertical="top"/>
    </xf>
    <xf numFmtId="0" fontId="28" fillId="0" borderId="11" xfId="0" applyFont="1" applyFill="1" applyBorder="1" applyAlignment="1">
      <alignment vertical="top"/>
    </xf>
    <xf numFmtId="10" fontId="22" fillId="0" borderId="0" xfId="2" applyNumberFormat="1" applyFont="1" applyAlignment="1">
      <alignment vertical="top"/>
    </xf>
    <xf numFmtId="10" fontId="23" fillId="0" borderId="0" xfId="2" applyNumberFormat="1" applyFont="1" applyFill="1" applyAlignment="1">
      <alignment vertical="top"/>
    </xf>
    <xf numFmtId="10" fontId="29" fillId="0" borderId="0" xfId="2" applyNumberFormat="1" applyFont="1" applyFill="1" applyAlignment="1">
      <alignment vertical="top"/>
    </xf>
    <xf numFmtId="10" fontId="18" fillId="0" borderId="0" xfId="2" applyNumberFormat="1" applyFont="1" applyAlignment="1">
      <alignment horizontal="right" vertical="top"/>
    </xf>
    <xf numFmtId="10" fontId="18" fillId="0" borderId="0" xfId="2" applyNumberFormat="1" applyFont="1" applyAlignment="1">
      <alignment vertical="top"/>
    </xf>
    <xf numFmtId="10" fontId="18" fillId="0" borderId="0" xfId="2" applyNumberFormat="1" applyFont="1" applyFill="1" applyAlignment="1">
      <alignment vertical="top"/>
    </xf>
    <xf numFmtId="10" fontId="36" fillId="0" borderId="0" xfId="2" applyFont="1" applyFill="1" applyAlignment="1">
      <alignment vertical="top"/>
    </xf>
    <xf numFmtId="10" fontId="37" fillId="0" borderId="0" xfId="2" applyFont="1" applyFill="1" applyAlignment="1">
      <alignment vertical="top"/>
    </xf>
    <xf numFmtId="10" fontId="38" fillId="0" borderId="0" xfId="2" applyFont="1" applyFill="1" applyAlignment="1">
      <alignment vertical="top"/>
    </xf>
    <xf numFmtId="10" fontId="28" fillId="0" borderId="0" xfId="2" applyFont="1" applyFill="1" applyAlignment="1">
      <alignment horizontal="right" vertical="top"/>
    </xf>
    <xf numFmtId="10" fontId="28" fillId="0" borderId="0" xfId="2" applyFont="1" applyFill="1" applyAlignment="1">
      <alignment vertical="top"/>
    </xf>
    <xf numFmtId="177" fontId="18" fillId="50" borderId="0" xfId="0" applyNumberFormat="1" applyFont="1" applyFill="1" applyAlignment="1">
      <alignment vertical="top"/>
    </xf>
    <xf numFmtId="177" fontId="18" fillId="0" borderId="0" xfId="0" applyNumberFormat="1" applyFont="1" applyFill="1" applyAlignment="1">
      <alignment vertical="top"/>
    </xf>
    <xf numFmtId="178" fontId="23" fillId="0" borderId="0" xfId="1" applyNumberFormat="1" applyFont="1" applyFill="1" applyAlignment="1">
      <alignment vertical="top"/>
    </xf>
    <xf numFmtId="178" fontId="29" fillId="0" borderId="0" xfId="1" applyNumberFormat="1" applyFont="1" applyFill="1" applyAlignment="1">
      <alignment vertical="top"/>
    </xf>
    <xf numFmtId="178" fontId="18" fillId="0" borderId="0" xfId="1" applyNumberFormat="1" applyFont="1" applyAlignment="1">
      <alignment horizontal="right" vertical="top"/>
    </xf>
    <xf numFmtId="178" fontId="18" fillId="0" borderId="0" xfId="1" applyNumberFormat="1" applyFont="1" applyAlignment="1">
      <alignment vertical="top"/>
    </xf>
    <xf numFmtId="171" fontId="22" fillId="0" borderId="0" xfId="1" applyNumberFormat="1" applyFont="1" applyFill="1" applyAlignment="1">
      <alignment vertical="top"/>
    </xf>
    <xf numFmtId="171" fontId="23" fillId="0" borderId="0" xfId="1" applyNumberFormat="1" applyFont="1" applyFill="1" applyAlignment="1">
      <alignment vertical="top"/>
    </xf>
    <xf numFmtId="171" fontId="29" fillId="0" borderId="0" xfId="1" applyNumberFormat="1" applyFont="1" applyFill="1" applyAlignment="1">
      <alignment vertical="top"/>
    </xf>
    <xf numFmtId="171" fontId="18" fillId="0" borderId="0" xfId="1" applyNumberFormat="1" applyFont="1" applyAlignment="1">
      <alignment horizontal="right" vertical="top"/>
    </xf>
    <xf numFmtId="171" fontId="18" fillId="0" borderId="0" xfId="1" applyNumberFormat="1" applyFont="1" applyAlignment="1">
      <alignment vertical="top"/>
    </xf>
    <xf numFmtId="171" fontId="18" fillId="61" borderId="0" xfId="1" applyNumberFormat="1" applyFont="1" applyFill="1" applyAlignment="1">
      <alignment vertical="top"/>
    </xf>
    <xf numFmtId="171" fontId="18" fillId="0" borderId="0" xfId="1" applyNumberFormat="1" applyFont="1" applyFill="1" applyAlignment="1">
      <alignment vertical="top"/>
    </xf>
    <xf numFmtId="43" fontId="22" fillId="61" borderId="0" xfId="1" applyFont="1" applyFill="1" applyAlignment="1">
      <alignment vertical="top"/>
    </xf>
    <xf numFmtId="43" fontId="23" fillId="61" borderId="0" xfId="1" applyFont="1" applyFill="1" applyAlignment="1">
      <alignment vertical="top"/>
    </xf>
    <xf numFmtId="43" fontId="29" fillId="61" borderId="0" xfId="1" applyFont="1" applyFill="1" applyAlignment="1">
      <alignment vertical="top"/>
    </xf>
    <xf numFmtId="43" fontId="18" fillId="61" borderId="0" xfId="1" applyFont="1" applyFill="1" applyAlignment="1">
      <alignment horizontal="right" vertical="top"/>
    </xf>
    <xf numFmtId="43" fontId="28" fillId="0" borderId="0" xfId="1" applyFont="1" applyFill="1" applyAlignment="1">
      <alignment vertical="top"/>
    </xf>
    <xf numFmtId="178" fontId="22" fillId="0" borderId="0" xfId="1" applyNumberFormat="1" applyFont="1" applyAlignment="1">
      <alignment vertical="top"/>
    </xf>
    <xf numFmtId="178" fontId="18" fillId="49" borderId="0" xfId="1" applyNumberFormat="1" applyFont="1" applyFill="1" applyAlignment="1">
      <alignment vertical="top"/>
    </xf>
    <xf numFmtId="0" fontId="39" fillId="0" borderId="0" xfId="0" applyFont="1" applyBorder="1" applyAlignment="1">
      <alignment horizontal="left" vertical="top"/>
    </xf>
    <xf numFmtId="0" fontId="16" fillId="0" borderId="0" xfId="0" applyFont="1" applyFill="1"/>
    <xf numFmtId="0" fontId="16" fillId="0" borderId="0" xfId="0" applyFont="1"/>
    <xf numFmtId="0" fontId="0" fillId="0" borderId="0" xfId="0" applyFont="1" applyFill="1"/>
    <xf numFmtId="2" fontId="18" fillId="50" borderId="0" xfId="0" applyNumberFormat="1" applyFont="1" applyFill="1" applyBorder="1" applyAlignment="1">
      <alignment vertical="top"/>
    </xf>
    <xf numFmtId="0" fontId="18" fillId="62" borderId="0" xfId="0" applyFont="1" applyFill="1" applyAlignment="1">
      <alignment vertical="top"/>
    </xf>
    <xf numFmtId="180" fontId="18" fillId="0" borderId="0" xfId="0" applyNumberFormat="1" applyFont="1" applyFill="1" applyAlignment="1">
      <alignment vertical="top"/>
    </xf>
    <xf numFmtId="43" fontId="28" fillId="0" borderId="0" xfId="0" applyNumberFormat="1" applyFont="1" applyFill="1" applyAlignment="1">
      <alignment vertical="top"/>
    </xf>
    <xf numFmtId="181" fontId="18" fillId="0" borderId="0" xfId="0" applyNumberFormat="1" applyFont="1" applyAlignment="1">
      <alignment vertical="top"/>
    </xf>
    <xf numFmtId="0" fontId="18" fillId="0" borderId="0" xfId="66" applyNumberFormat="1" applyFont="1">
      <alignment vertical="top"/>
    </xf>
    <xf numFmtId="43" fontId="24" fillId="0" borderId="0" xfId="0" applyNumberFormat="1" applyFont="1" applyBorder="1" applyAlignment="1">
      <alignment vertical="top"/>
    </xf>
    <xf numFmtId="10" fontId="1" fillId="0" borderId="0" xfId="2" applyAlignment="1">
      <alignment vertical="top"/>
    </xf>
    <xf numFmtId="181" fontId="18" fillId="0" borderId="0" xfId="2" applyNumberFormat="1" applyFont="1" applyAlignment="1">
      <alignment vertical="top"/>
    </xf>
    <xf numFmtId="10" fontId="1" fillId="0" borderId="13" xfId="2" applyBorder="1" applyAlignment="1">
      <alignment vertical="top"/>
    </xf>
    <xf numFmtId="43" fontId="14" fillId="0" borderId="0" xfId="0" applyNumberFormat="1" applyFont="1" applyFill="1" applyAlignment="1">
      <alignment vertical="top"/>
    </xf>
    <xf numFmtId="181" fontId="14" fillId="0" borderId="0" xfId="0" applyNumberFormat="1" applyFont="1" applyFill="1" applyAlignment="1">
      <alignment vertical="top"/>
    </xf>
    <xf numFmtId="10" fontId="1" fillId="0" borderId="0" xfId="2" applyFont="1" applyBorder="1" applyAlignment="1">
      <alignment vertical="top"/>
    </xf>
    <xf numFmtId="10" fontId="18" fillId="50" borderId="0" xfId="0" applyNumberFormat="1" applyFont="1" applyFill="1" applyAlignment="1">
      <alignment vertical="top"/>
    </xf>
    <xf numFmtId="174" fontId="18" fillId="61" borderId="0" xfId="1" applyNumberFormat="1" applyFont="1" applyFill="1" applyAlignment="1">
      <alignment vertical="top"/>
    </xf>
    <xf numFmtId="174" fontId="18" fillId="0" borderId="0" xfId="1" applyNumberFormat="1" applyFont="1" applyFill="1" applyBorder="1" applyAlignment="1">
      <alignment vertical="top"/>
    </xf>
    <xf numFmtId="174" fontId="18" fillId="0" borderId="12" xfId="1" applyNumberFormat="1" applyFont="1" applyFill="1" applyBorder="1" applyAlignment="1">
      <alignment vertical="top"/>
    </xf>
    <xf numFmtId="174" fontId="18" fillId="0" borderId="0" xfId="0" applyNumberFormat="1" applyFont="1" applyAlignment="1">
      <alignment vertical="top"/>
    </xf>
    <xf numFmtId="174" fontId="18" fillId="0" borderId="0" xfId="0" applyNumberFormat="1" applyFont="1" applyFill="1" applyAlignment="1">
      <alignment vertical="top"/>
    </xf>
    <xf numFmtId="182" fontId="18" fillId="61" borderId="0" xfId="0" applyNumberFormat="1" applyFont="1" applyFill="1" applyAlignment="1">
      <alignment vertical="top"/>
    </xf>
    <xf numFmtId="182" fontId="18" fillId="0" borderId="0" xfId="1" applyNumberFormat="1" applyFont="1" applyAlignment="1">
      <alignment vertical="top"/>
    </xf>
    <xf numFmtId="182" fontId="18" fillId="0" borderId="0" xfId="0" applyNumberFormat="1" applyFont="1" applyAlignment="1">
      <alignment vertical="top"/>
    </xf>
    <xf numFmtId="184" fontId="18" fillId="0" borderId="0" xfId="1" applyNumberFormat="1" applyFont="1" applyAlignment="1">
      <alignment vertical="top"/>
    </xf>
    <xf numFmtId="185" fontId="28" fillId="0" borderId="0" xfId="1" applyNumberFormat="1" applyFont="1" applyFill="1" applyAlignment="1">
      <alignment vertical="top"/>
    </xf>
    <xf numFmtId="182" fontId="28" fillId="0" borderId="0" xfId="0" applyNumberFormat="1" applyFont="1" applyFill="1" applyBorder="1" applyAlignment="1">
      <alignment vertical="top"/>
    </xf>
    <xf numFmtId="0" fontId="28" fillId="0" borderId="0" xfId="0" applyFont="1" applyFill="1" applyBorder="1" applyAlignment="1">
      <alignment vertical="top"/>
    </xf>
    <xf numFmtId="0" fontId="18" fillId="0" borderId="12" xfId="0" applyFont="1" applyBorder="1" applyAlignment="1">
      <alignment vertical="top"/>
    </xf>
    <xf numFmtId="185" fontId="28" fillId="0" borderId="0" xfId="0" applyNumberFormat="1" applyFont="1" applyAlignment="1">
      <alignment vertical="top"/>
    </xf>
    <xf numFmtId="174" fontId="22" fillId="0" borderId="0" xfId="1" applyNumberFormat="1" applyFont="1" applyFill="1" applyAlignment="1">
      <alignment vertical="top"/>
    </xf>
    <xf numFmtId="174" fontId="18" fillId="0" borderId="0" xfId="1" applyNumberFormat="1" applyFont="1" applyFill="1" applyAlignment="1">
      <alignment horizontal="right" vertical="top"/>
    </xf>
    <xf numFmtId="164" fontId="18" fillId="50" borderId="0" xfId="0" applyNumberFormat="1" applyFont="1" applyFill="1" applyAlignment="1">
      <alignment vertical="top"/>
    </xf>
    <xf numFmtId="183" fontId="18" fillId="0" borderId="0" xfId="0" applyNumberFormat="1" applyFont="1" applyAlignment="1">
      <alignment vertical="top"/>
    </xf>
    <xf numFmtId="0" fontId="40" fillId="63" borderId="0" xfId="69"/>
    <xf numFmtId="0" fontId="41" fillId="63" borderId="14" xfId="0" applyFont="1" applyFill="1" applyBorder="1"/>
    <xf numFmtId="0" fontId="41" fillId="63" borderId="0" xfId="0" applyFont="1" applyFill="1"/>
    <xf numFmtId="0" fontId="41" fillId="64" borderId="0" xfId="0" applyFont="1" applyFill="1"/>
    <xf numFmtId="0" fontId="42" fillId="0" borderId="0" xfId="71" applyAlignment="1">
      <alignment vertical="center"/>
    </xf>
    <xf numFmtId="0" fontId="0" fillId="0" borderId="0" xfId="0" applyAlignment="1">
      <alignment vertical="center"/>
    </xf>
    <xf numFmtId="0" fontId="0" fillId="0" borderId="15" xfId="0" applyFill="1" applyBorder="1" applyAlignment="1">
      <alignment horizontal="center"/>
    </xf>
    <xf numFmtId="0" fontId="43" fillId="63" borderId="0" xfId="73"/>
    <xf numFmtId="0" fontId="0" fillId="66" borderId="10" xfId="0" applyFill="1" applyBorder="1"/>
    <xf numFmtId="0" fontId="44" fillId="0" borderId="0" xfId="66" applyNumberFormat="1" applyFont="1">
      <alignment vertical="top"/>
    </xf>
    <xf numFmtId="0" fontId="45" fillId="0" borderId="0" xfId="67" applyFont="1" applyFill="1">
      <alignment vertical="top"/>
    </xf>
    <xf numFmtId="0" fontId="46" fillId="0" borderId="0" xfId="67" applyFont="1" applyFill="1">
      <alignment vertical="top"/>
    </xf>
    <xf numFmtId="0" fontId="14" fillId="0" borderId="0" xfId="68" applyFont="1">
      <alignment horizontal="right" vertical="top"/>
    </xf>
    <xf numFmtId="43" fontId="14" fillId="0" borderId="0" xfId="1" applyFont="1" applyAlignment="1">
      <alignment vertical="top"/>
    </xf>
    <xf numFmtId="174" fontId="14" fillId="0" borderId="0" xfId="0" applyNumberFormat="1" applyFont="1" applyAlignment="1">
      <alignment vertical="top"/>
    </xf>
    <xf numFmtId="174" fontId="14" fillId="0" borderId="0" xfId="1" applyNumberFormat="1" applyFont="1" applyAlignment="1">
      <alignment vertical="top"/>
    </xf>
    <xf numFmtId="43" fontId="44" fillId="0" borderId="0" xfId="1" applyFont="1" applyAlignment="1">
      <alignment vertical="top"/>
    </xf>
    <xf numFmtId="43" fontId="45" fillId="0" borderId="0" xfId="1" applyFont="1" applyFill="1" applyAlignment="1">
      <alignment vertical="top"/>
    </xf>
    <xf numFmtId="43" fontId="46" fillId="0" borderId="0" xfId="1" applyFont="1" applyFill="1" applyAlignment="1">
      <alignment vertical="top"/>
    </xf>
    <xf numFmtId="43" fontId="14" fillId="0" borderId="0" xfId="1" applyFont="1" applyAlignment="1">
      <alignment horizontal="right" vertical="top"/>
    </xf>
    <xf numFmtId="43" fontId="39" fillId="0" borderId="0" xfId="1" applyFont="1" applyFill="1" applyAlignment="1">
      <alignment vertical="top"/>
    </xf>
    <xf numFmtId="174" fontId="14" fillId="0" borderId="0" xfId="1" applyNumberFormat="1" applyFont="1" applyFill="1" applyAlignment="1">
      <alignment vertical="top"/>
    </xf>
    <xf numFmtId="0" fontId="39" fillId="0" borderId="0" xfId="67" applyFont="1" applyFill="1">
      <alignment vertical="top"/>
    </xf>
    <xf numFmtId="0" fontId="22" fillId="0" borderId="12" xfId="66" applyNumberFormat="1" applyFont="1" applyFill="1" applyBorder="1">
      <alignment vertical="top"/>
    </xf>
    <xf numFmtId="0" fontId="23" fillId="0" borderId="12" xfId="67" applyFont="1" applyFill="1" applyBorder="1">
      <alignment vertical="top"/>
    </xf>
    <xf numFmtId="0" fontId="39" fillId="0" borderId="12" xfId="67" applyFont="1" applyFill="1" applyBorder="1">
      <alignment vertical="top"/>
    </xf>
    <xf numFmtId="0" fontId="18" fillId="0" borderId="12" xfId="68" applyFont="1" applyFill="1" applyBorder="1">
      <alignment horizontal="right" vertical="top"/>
    </xf>
    <xf numFmtId="0" fontId="23" fillId="0" borderId="0" xfId="67" applyFont="1" applyFill="1" applyBorder="1">
      <alignment vertical="top"/>
    </xf>
    <xf numFmtId="0" fontId="39" fillId="0" borderId="0" xfId="67" applyFont="1" applyFill="1" applyBorder="1">
      <alignment vertical="top"/>
    </xf>
    <xf numFmtId="0" fontId="18" fillId="0" borderId="0" xfId="68" applyFont="1" applyFill="1" applyBorder="1">
      <alignment horizontal="right" vertical="top"/>
    </xf>
    <xf numFmtId="174" fontId="28" fillId="0" borderId="0" xfId="1" applyNumberFormat="1" applyFont="1" applyFill="1" applyAlignment="1">
      <alignment vertical="top"/>
    </xf>
    <xf numFmtId="182" fontId="18" fillId="0" borderId="0" xfId="2" applyNumberFormat="1" applyFont="1" applyFill="1" applyAlignment="1">
      <alignment vertical="top"/>
    </xf>
    <xf numFmtId="0" fontId="47" fillId="0" borderId="0" xfId="67" applyFont="1" applyFill="1">
      <alignment vertical="top"/>
    </xf>
    <xf numFmtId="0" fontId="18" fillId="0" borderId="0" xfId="0" applyNumberFormat="1" applyFont="1" applyFill="1" applyAlignment="1">
      <alignment horizontal="right" vertical="top"/>
    </xf>
    <xf numFmtId="0" fontId="18" fillId="0" borderId="0" xfId="0" applyFont="1" applyFill="1" applyAlignment="1">
      <alignment horizontal="right" vertical="top"/>
    </xf>
    <xf numFmtId="185" fontId="24" fillId="0" borderId="0" xfId="0" applyNumberFormat="1" applyFont="1" applyFill="1" applyAlignment="1">
      <alignment vertical="top"/>
    </xf>
    <xf numFmtId="179" fontId="22" fillId="67" borderId="0" xfId="62" applyNumberFormat="1" applyFont="1" applyFill="1">
      <alignment vertical="top"/>
    </xf>
    <xf numFmtId="179" fontId="23" fillId="67" borderId="0" xfId="62" applyNumberFormat="1" applyFont="1" applyFill="1">
      <alignment vertical="top"/>
    </xf>
    <xf numFmtId="179" fontId="18" fillId="67" borderId="0" xfId="62" applyNumberFormat="1" applyFill="1">
      <alignment vertical="top"/>
    </xf>
    <xf numFmtId="178" fontId="18" fillId="51" borderId="0" xfId="1" applyNumberFormat="1" applyFont="1" applyFill="1" applyAlignment="1">
      <alignment vertical="top"/>
    </xf>
    <xf numFmtId="0" fontId="41" fillId="63" borderId="0" xfId="0" applyFont="1" applyFill="1" applyAlignment="1">
      <alignment horizontal="left"/>
    </xf>
    <xf numFmtId="0" fontId="0" fillId="0" borderId="0" xfId="0" applyFill="1"/>
    <xf numFmtId="0" fontId="0" fillId="0" borderId="0" xfId="0" applyFill="1" applyAlignment="1">
      <alignment wrapText="1"/>
    </xf>
    <xf numFmtId="0" fontId="0" fillId="0" borderId="0" xfId="0" applyFill="1" applyAlignment="1">
      <alignment horizontal="left" wrapText="1"/>
    </xf>
    <xf numFmtId="181" fontId="18" fillId="0" borderId="0" xfId="0" applyNumberFormat="1" applyFont="1" applyFill="1" applyAlignment="1">
      <alignment vertical="top"/>
    </xf>
    <xf numFmtId="186" fontId="18" fillId="50" borderId="0" xfId="0" applyNumberFormat="1" applyFont="1" applyFill="1" applyBorder="1" applyAlignment="1">
      <alignment vertical="top"/>
    </xf>
    <xf numFmtId="15" fontId="41" fillId="63" borderId="0" xfId="0" applyNumberFormat="1" applyFont="1" applyFill="1" applyAlignment="1">
      <alignment horizontal="left"/>
    </xf>
  </cellXfs>
  <cellStyles count="74">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8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5</xdr:col>
      <xdr:colOff>234807</xdr:colOff>
      <xdr:row>6</xdr:row>
      <xdr:rowOff>192884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E0DCD8"/>
    <pageSetUpPr fitToPage="1"/>
  </sheetPr>
  <dimension ref="A1:F51"/>
  <sheetViews>
    <sheetView zoomScaleNormal="100" workbookViewId="0">
      <pane ySplit="9" topLeftCell="A10" activePane="bottomLeft" state="frozen"/>
      <selection pane="bottomLeft"/>
    </sheetView>
  </sheetViews>
  <sheetFormatPr defaultColWidth="9.1796875" defaultRowHeight="12.5" x14ac:dyDescent="0.25"/>
  <cols>
    <col min="1" max="1" width="30.453125" style="63" bestFit="1" customWidth="1"/>
    <col min="2" max="2" width="108" style="63" customWidth="1"/>
    <col min="3" max="3" width="20.453125" style="63" customWidth="1"/>
    <col min="4" max="16384" width="9.1796875" style="63"/>
  </cols>
  <sheetData>
    <row r="1" spans="1:6" ht="32.5" thickBot="1" x14ac:dyDescent="0.85">
      <c r="A1" s="310" t="str">
        <f ca="1" xml:space="preserve"> RIGHT(CELL("filename", $A$1), LEN(CELL("filename", $A$1)) - SEARCH("]", CELL("filename", $A$1)))</f>
        <v>Cover</v>
      </c>
      <c r="B1" s="310"/>
      <c r="C1" s="310"/>
      <c r="D1" s="310"/>
      <c r="E1" s="310"/>
      <c r="F1" s="310"/>
    </row>
    <row r="2" spans="1:6" ht="4" customHeight="1" x14ac:dyDescent="0.4">
      <c r="A2" s="311"/>
      <c r="B2" s="311"/>
      <c r="C2" s="311"/>
      <c r="D2" s="311"/>
      <c r="E2" s="311"/>
      <c r="F2" s="311"/>
    </row>
    <row r="3" spans="1:6" ht="16" x14ac:dyDescent="0.4">
      <c r="A3" s="312" t="s">
        <v>284</v>
      </c>
      <c r="B3" s="312" t="s">
        <v>297</v>
      </c>
      <c r="C3" s="313"/>
      <c r="D3" s="313"/>
      <c r="E3" s="313"/>
      <c r="F3" s="313"/>
    </row>
    <row r="4" spans="1:6" ht="16" x14ac:dyDescent="0.4">
      <c r="A4" s="312" t="s">
        <v>285</v>
      </c>
      <c r="B4" s="350">
        <v>5</v>
      </c>
      <c r="C4" s="313"/>
      <c r="D4" s="313"/>
      <c r="E4" s="313"/>
      <c r="F4" s="313"/>
    </row>
    <row r="5" spans="1:6" ht="16" x14ac:dyDescent="0.4">
      <c r="A5" s="312" t="s">
        <v>0</v>
      </c>
      <c r="B5" s="350" t="s">
        <v>434</v>
      </c>
      <c r="C5" s="313"/>
      <c r="D5" s="313"/>
      <c r="E5" s="313"/>
      <c r="F5" s="313"/>
    </row>
    <row r="6" spans="1:6" ht="16" x14ac:dyDescent="0.4">
      <c r="A6" s="312" t="s">
        <v>1</v>
      </c>
      <c r="B6" s="356">
        <v>44167</v>
      </c>
      <c r="C6" s="313"/>
      <c r="D6" s="313"/>
      <c r="E6" s="313"/>
      <c r="F6" s="313"/>
    </row>
    <row r="7" spans="1:6" ht="16" x14ac:dyDescent="0.4">
      <c r="A7" s="312" t="s">
        <v>281</v>
      </c>
      <c r="B7" s="312" t="s">
        <v>286</v>
      </c>
      <c r="C7" s="313"/>
      <c r="D7" s="313"/>
      <c r="E7" s="313"/>
      <c r="F7" s="313"/>
    </row>
    <row r="8" spans="1:6" ht="16" x14ac:dyDescent="0.4">
      <c r="A8" s="312" t="s">
        <v>282</v>
      </c>
      <c r="B8" s="312" t="s">
        <v>433</v>
      </c>
      <c r="C8" s="313"/>
      <c r="D8" s="313"/>
      <c r="E8" s="313"/>
      <c r="F8" s="313"/>
    </row>
    <row r="9" spans="1:6" ht="4" customHeight="1" x14ac:dyDescent="0.4">
      <c r="A9" s="312"/>
      <c r="B9" s="312"/>
      <c r="C9" s="312"/>
      <c r="D9" s="312"/>
      <c r="E9" s="312"/>
      <c r="F9" s="312"/>
    </row>
    <row r="11" spans="1:6" ht="15" x14ac:dyDescent="0.25">
      <c r="A11" s="314" t="s">
        <v>287</v>
      </c>
      <c r="B11" s="315" t="s">
        <v>312</v>
      </c>
    </row>
    <row r="12" spans="1:6" ht="15" x14ac:dyDescent="0.25">
      <c r="A12" s="314"/>
      <c r="B12" s="315" t="s">
        <v>313</v>
      </c>
    </row>
    <row r="13" spans="1:6" ht="15" x14ac:dyDescent="0.25">
      <c r="A13" s="314"/>
      <c r="B13" s="315" t="s">
        <v>314</v>
      </c>
    </row>
    <row r="14" spans="1:6" x14ac:dyDescent="0.25">
      <c r="A14" s="315"/>
      <c r="B14" s="315"/>
    </row>
    <row r="15" spans="1:6" ht="15" x14ac:dyDescent="0.25">
      <c r="A15" s="314" t="s">
        <v>288</v>
      </c>
      <c r="B15" s="315"/>
    </row>
    <row r="16" spans="1:6" x14ac:dyDescent="0.25">
      <c r="A16" s="315"/>
      <c r="B16" s="315"/>
    </row>
    <row r="17" spans="1:2" ht="15" x14ac:dyDescent="0.25">
      <c r="A17" s="314" t="s">
        <v>289</v>
      </c>
      <c r="B17" s="315"/>
    </row>
    <row r="18" spans="1:2" x14ac:dyDescent="0.25">
      <c r="A18" s="315"/>
      <c r="B18" s="315"/>
    </row>
    <row r="19" spans="1:2" ht="15" x14ac:dyDescent="0.25">
      <c r="A19" s="314" t="s">
        <v>290</v>
      </c>
      <c r="B19" s="315"/>
    </row>
    <row r="20" spans="1:2" ht="13" x14ac:dyDescent="0.3">
      <c r="A20" s="275" t="s">
        <v>323</v>
      </c>
      <c r="B20" s="315"/>
    </row>
    <row r="21" spans="1:2" s="351" customFormat="1" x14ac:dyDescent="0.25">
      <c r="A21" s="352" t="s">
        <v>379</v>
      </c>
      <c r="B21" s="352" t="s">
        <v>378</v>
      </c>
    </row>
    <row r="22" spans="1:2" s="351" customFormat="1" ht="37.5" x14ac:dyDescent="0.25">
      <c r="A22" s="352" t="s">
        <v>381</v>
      </c>
      <c r="B22" s="353" t="s">
        <v>382</v>
      </c>
    </row>
    <row r="23" spans="1:2" x14ac:dyDescent="0.25">
      <c r="B23" s="315"/>
    </row>
    <row r="24" spans="1:2" ht="13" x14ac:dyDescent="0.3">
      <c r="A24" s="276" t="s">
        <v>180</v>
      </c>
      <c r="B24" s="315"/>
    </row>
    <row r="25" spans="1:2" x14ac:dyDescent="0.25">
      <c r="A25" s="277" t="s">
        <v>302</v>
      </c>
      <c r="B25" s="315" t="s">
        <v>298</v>
      </c>
    </row>
    <row r="26" spans="1:2" x14ac:dyDescent="0.25">
      <c r="A26" s="277" t="s">
        <v>303</v>
      </c>
      <c r="B26" s="315" t="s">
        <v>299</v>
      </c>
    </row>
    <row r="27" spans="1:2" x14ac:dyDescent="0.25">
      <c r="A27" s="277" t="s">
        <v>304</v>
      </c>
      <c r="B27" s="315" t="s">
        <v>300</v>
      </c>
    </row>
    <row r="28" spans="1:2" x14ac:dyDescent="0.25">
      <c r="A28" s="277" t="s">
        <v>305</v>
      </c>
      <c r="B28" s="315" t="s">
        <v>301</v>
      </c>
    </row>
    <row r="29" spans="1:2" x14ac:dyDescent="0.25">
      <c r="A29" s="277" t="s">
        <v>306</v>
      </c>
      <c r="B29" s="315" t="s">
        <v>280</v>
      </c>
    </row>
    <row r="30" spans="1:2" x14ac:dyDescent="0.25">
      <c r="A30" s="277"/>
      <c r="B30" s="315"/>
    </row>
    <row r="31" spans="1:2" ht="13" x14ac:dyDescent="0.3">
      <c r="A31" s="276" t="s">
        <v>178</v>
      </c>
      <c r="B31" s="315"/>
    </row>
    <row r="32" spans="1:2" x14ac:dyDescent="0.25">
      <c r="A32" s="277" t="s">
        <v>307</v>
      </c>
      <c r="B32" s="315" t="s">
        <v>177</v>
      </c>
    </row>
    <row r="33" spans="1:3" x14ac:dyDescent="0.25">
      <c r="A33" s="277" t="s">
        <v>308</v>
      </c>
      <c r="B33" s="315" t="s">
        <v>179</v>
      </c>
    </row>
    <row r="34" spans="1:3" x14ac:dyDescent="0.25">
      <c r="A34" s="277" t="s">
        <v>309</v>
      </c>
      <c r="B34" s="315" t="s">
        <v>174</v>
      </c>
    </row>
    <row r="35" spans="1:3" x14ac:dyDescent="0.25">
      <c r="A35" s="277" t="s">
        <v>310</v>
      </c>
      <c r="B35" s="315" t="s">
        <v>175</v>
      </c>
    </row>
    <row r="36" spans="1:3" x14ac:dyDescent="0.25">
      <c r="A36" s="277" t="s">
        <v>311</v>
      </c>
      <c r="B36" s="315" t="s">
        <v>176</v>
      </c>
    </row>
    <row r="37" spans="1:3" x14ac:dyDescent="0.25">
      <c r="A37" s="277"/>
      <c r="B37" s="315"/>
    </row>
    <row r="38" spans="1:3" x14ac:dyDescent="0.25">
      <c r="A38" s="315"/>
      <c r="B38" s="315"/>
    </row>
    <row r="39" spans="1:3" ht="15" x14ac:dyDescent="0.25">
      <c r="A39" s="314" t="s">
        <v>291</v>
      </c>
      <c r="B39" s="315"/>
    </row>
    <row r="40" spans="1:3" ht="15" x14ac:dyDescent="0.25">
      <c r="A40" s="314"/>
      <c r="B40" s="315" t="s">
        <v>315</v>
      </c>
    </row>
    <row r="41" spans="1:3" ht="15" x14ac:dyDescent="0.25">
      <c r="A41" s="314"/>
      <c r="B41" s="315" t="s">
        <v>316</v>
      </c>
    </row>
    <row r="42" spans="1:3" ht="15" x14ac:dyDescent="0.25">
      <c r="A42" s="314"/>
      <c r="B42" s="315" t="s">
        <v>429</v>
      </c>
    </row>
    <row r="43" spans="1:3" ht="15" x14ac:dyDescent="0.25">
      <c r="A43" s="314"/>
      <c r="B43" s="315" t="s">
        <v>431</v>
      </c>
    </row>
    <row r="44" spans="1:3" ht="15" x14ac:dyDescent="0.25">
      <c r="A44" s="314"/>
      <c r="B44" s="315" t="s">
        <v>430</v>
      </c>
    </row>
    <row r="45" spans="1:3" ht="15" x14ac:dyDescent="0.25">
      <c r="A45" s="314"/>
      <c r="B45" s="315" t="s">
        <v>432</v>
      </c>
    </row>
    <row r="46" spans="1:3" ht="15" x14ac:dyDescent="0.25">
      <c r="A46" s="314"/>
      <c r="B46" s="315"/>
    </row>
    <row r="47" spans="1:3" ht="13" thickBot="1" x14ac:dyDescent="0.3">
      <c r="A47" s="315"/>
      <c r="B47" s="315"/>
    </row>
    <row r="48" spans="1:3" ht="15.5" thickBot="1" x14ac:dyDescent="0.3">
      <c r="A48" s="314" t="s">
        <v>292</v>
      </c>
      <c r="B48" s="315"/>
      <c r="C48" s="316" t="s">
        <v>293</v>
      </c>
    </row>
    <row r="49" spans="1:6" ht="15" x14ac:dyDescent="0.25">
      <c r="A49" s="314"/>
      <c r="B49" s="16" t="s">
        <v>2</v>
      </c>
      <c r="C49" s="38">
        <f xml:space="preserve"> Checks!$F$9</f>
        <v>0</v>
      </c>
    </row>
    <row r="51" spans="1:6" ht="13.5" x14ac:dyDescent="0.35">
      <c r="A51" s="317" t="s">
        <v>294</v>
      </c>
      <c r="B51" s="317"/>
      <c r="C51" s="317"/>
      <c r="D51" s="317"/>
      <c r="E51" s="317"/>
      <c r="F51" s="317"/>
    </row>
  </sheetData>
  <conditionalFormatting sqref="C49">
    <cfRule type="cellIs" dxfId="84" priority="5" stopIfTrue="1" operator="notEqual">
      <formula>0</formula>
    </cfRule>
    <cfRule type="cellIs" dxfId="83" priority="6" stopIfTrue="1" operator="equal">
      <formula>""</formula>
    </cfRule>
  </conditionalFormatting>
  <pageMargins left="0.70866141732283472" right="0.70866141732283472" top="0.74803149606299213" bottom="0.74803149606299213" header="0.31496062992125984" footer="0.31496062992125984"/>
  <pageSetup paperSize="9" scale="61" orientation="landscape" r:id="rId1"/>
  <headerFooter>
    <oddHeader>&amp;L&amp;F&amp;CSheet: &amp;A&amp;ROFFICIAL</oddHeader>
    <oddFooter>&amp;LPrinted on &amp;D at &amp;T&amp;CPage &amp;P of &amp;N&amp;ROfwat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69" customWidth="1"/>
    <col min="2" max="2" width="1.81640625" style="80" customWidth="1"/>
    <col min="3" max="3" width="1.81640625" style="144" customWidth="1"/>
    <col min="4" max="4" width="1.81640625" style="74" customWidth="1"/>
    <col min="5" max="5" width="73.453125" style="56" bestFit="1" customWidth="1"/>
    <col min="6" max="6" width="12.54296875" style="56" customWidth="1"/>
    <col min="7" max="7" width="10.81640625" style="56" bestFit="1" customWidth="1"/>
    <col min="8" max="8" width="11.54296875" style="56" customWidth="1"/>
    <col min="9" max="9" width="2.54296875" style="56" customWidth="1"/>
    <col min="10" max="18" width="11.54296875" style="56" customWidth="1"/>
    <col min="19" max="26" width="11.54296875" style="60" hidden="1" customWidth="1"/>
    <col min="27" max="16384" width="0" style="56" hidden="1"/>
  </cols>
  <sheetData>
    <row r="1" spans="1:26" s="156" customFormat="1" ht="25" x14ac:dyDescent="0.5">
      <c r="A1" s="152" t="str">
        <f ca="1" xml:space="preserve"> RIGHT(CELL("filename", $A$1), LEN(CELL("filename", $A$1)) - SEARCH("]", CELL("filename", $A$1)))</f>
        <v>Calcs-BR</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5">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25">
      <c r="C10" s="144" t="s">
        <v>259</v>
      </c>
    </row>
    <row r="12" spans="1:26" x14ac:dyDescent="0.25">
      <c r="B12" s="80" t="s">
        <v>132</v>
      </c>
    </row>
    <row r="13" spans="1:26" s="236" customFormat="1" x14ac:dyDescent="0.25">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5">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5">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5">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5">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5">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5">
      <c r="A20" s="260"/>
      <c r="B20" s="261"/>
      <c r="C20" s="262"/>
      <c r="D20" s="263"/>
      <c r="I20" s="266"/>
      <c r="S20" s="266"/>
      <c r="T20" s="266"/>
      <c r="U20" s="266"/>
      <c r="V20" s="266"/>
      <c r="W20" s="266"/>
      <c r="X20" s="266"/>
      <c r="Y20" s="266"/>
      <c r="Z20" s="266"/>
    </row>
    <row r="21" spans="1:16383" x14ac:dyDescent="0.25">
      <c r="B21" s="80" t="s">
        <v>135</v>
      </c>
    </row>
    <row r="22" spans="1:16383" s="208" customFormat="1" x14ac:dyDescent="0.25">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71.869584750680133</v>
      </c>
      <c r="N22" s="292">
        <f t="shared" si="3"/>
        <v>67.731324717813649</v>
      </c>
      <c r="O22" s="292">
        <f t="shared" si="3"/>
        <v>64.163482063424198</v>
      </c>
      <c r="P22" s="292">
        <f t="shared" si="3"/>
        <v>60.896697120315437</v>
      </c>
      <c r="Q22" s="292">
        <f t="shared" si="3"/>
        <v>57.82404465305514</v>
      </c>
      <c r="R22" s="292">
        <f t="shared" si="3"/>
        <v>54.906428396804856</v>
      </c>
    </row>
    <row r="23" spans="1:16383" s="213" customFormat="1" x14ac:dyDescent="0.25">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5">
      <c r="A24" s="210"/>
      <c r="B24" s="204"/>
      <c r="C24" s="205"/>
      <c r="D24" s="211"/>
      <c r="E24" s="213" t="s">
        <v>136</v>
      </c>
      <c r="G24" s="125" t="s">
        <v>88</v>
      </c>
      <c r="J24" s="225">
        <f>J22*J23</f>
        <v>0</v>
      </c>
      <c r="K24" s="225">
        <f t="shared" ref="K24:R24" si="5">K22*K23</f>
        <v>0</v>
      </c>
      <c r="L24" s="225">
        <f t="shared" si="5"/>
        <v>0</v>
      </c>
      <c r="M24" s="225">
        <f>M22*M23</f>
        <v>1.7434189639309403</v>
      </c>
      <c r="N24" s="225">
        <f t="shared" si="5"/>
        <v>2.0040106407606455</v>
      </c>
      <c r="O24" s="225">
        <f t="shared" si="5"/>
        <v>2.021386016475208</v>
      </c>
      <c r="P24" s="225">
        <f t="shared" si="5"/>
        <v>1.9486943078501362</v>
      </c>
      <c r="Q24" s="225">
        <f t="shared" si="5"/>
        <v>1.8503694288977532</v>
      </c>
      <c r="R24" s="225">
        <f t="shared" si="5"/>
        <v>1.647192851904135</v>
      </c>
      <c r="S24" s="126"/>
      <c r="T24" s="126"/>
      <c r="U24" s="126"/>
      <c r="V24" s="126"/>
      <c r="W24" s="126"/>
      <c r="X24" s="126"/>
      <c r="Y24" s="126"/>
      <c r="Z24" s="126"/>
    </row>
    <row r="26" spans="1:16383" s="253" customFormat="1" x14ac:dyDescent="0.25">
      <c r="A26" s="249"/>
      <c r="B26" s="250"/>
      <c r="C26" s="251"/>
      <c r="D26" s="252"/>
      <c r="E26" s="49" t="str">
        <f xml:space="preserve"> InpR!E$97</f>
        <v>Run-off rate - CPI(H) + RPI wedge - active - BR</v>
      </c>
      <c r="F26" s="253">
        <f xml:space="preserve"> InpR!F$97</f>
        <v>0</v>
      </c>
      <c r="G26" s="271" t="str">
        <f xml:space="preserve"> InpR!G$97</f>
        <v>%</v>
      </c>
      <c r="H26" s="253" t="str">
        <f xml:space="preserve"> InpR!I$97</f>
        <v>PR19 Financial model, 'F_OutputsMaster' sheet row 962, PR19FM2099POST</v>
      </c>
      <c r="I26" s="253" t="e">
        <f xml:space="preserve"> InpR!#REF!</f>
        <v>#REF!</v>
      </c>
      <c r="J26" s="253">
        <f xml:space="preserve"> InpR!J$97</f>
        <v>0</v>
      </c>
      <c r="K26" s="253">
        <f xml:space="preserve"> InpR!K$97</f>
        <v>0</v>
      </c>
      <c r="L26" s="253">
        <f xml:space="preserve"> InpR!L$97</f>
        <v>0</v>
      </c>
      <c r="M26" s="253">
        <f xml:space="preserve"> InpR!M$97</f>
        <v>7.9899999999999999E-2</v>
      </c>
      <c r="N26" s="253">
        <f xml:space="preserve"> InpR!N$97</f>
        <v>7.9899999999999999E-2</v>
      </c>
      <c r="O26" s="253">
        <f xml:space="preserve"> InpR!O$97</f>
        <v>7.9899999999999999E-2</v>
      </c>
      <c r="P26" s="253">
        <f xml:space="preserve"> InpR!P$97</f>
        <v>7.9899999999999999E-2</v>
      </c>
      <c r="Q26" s="253">
        <f xml:space="preserve"> InpR!Q$97</f>
        <v>7.9899999999999999E-2</v>
      </c>
      <c r="R26" s="253">
        <f xml:space="preserve"> InpR!R$97</f>
        <v>0</v>
      </c>
    </row>
    <row r="27" spans="1:16383" s="199" customFormat="1" x14ac:dyDescent="0.25">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71.869584750680133</v>
      </c>
      <c r="N27" s="292">
        <f t="shared" si="6"/>
        <v>67.731324717813649</v>
      </c>
      <c r="O27" s="292">
        <f t="shared" si="6"/>
        <v>64.163482063424198</v>
      </c>
      <c r="P27" s="292">
        <f t="shared" si="6"/>
        <v>60.896697120315437</v>
      </c>
      <c r="Q27" s="292">
        <f t="shared" si="6"/>
        <v>57.82404465305514</v>
      </c>
      <c r="R27" s="292">
        <f t="shared" si="6"/>
        <v>54.906428396804856</v>
      </c>
    </row>
    <row r="28" spans="1:16383" x14ac:dyDescent="0.25">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1.7434189639309403</v>
      </c>
      <c r="N28" s="225">
        <f t="shared" si="7"/>
        <v>2.0040106407606455</v>
      </c>
      <c r="O28" s="225">
        <f t="shared" si="7"/>
        <v>2.021386016475208</v>
      </c>
      <c r="P28" s="225">
        <f t="shared" si="7"/>
        <v>1.9486943078501362</v>
      </c>
      <c r="Q28" s="225">
        <f t="shared" si="7"/>
        <v>1.8503694288977532</v>
      </c>
      <c r="R28" s="225">
        <f t="shared" si="7"/>
        <v>1.647192851904135</v>
      </c>
    </row>
    <row r="29" spans="1:16383" x14ac:dyDescent="0.25">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5.8816789967974241</v>
      </c>
      <c r="N29" s="225">
        <f t="shared" si="8"/>
        <v>5.5718532951500856</v>
      </c>
      <c r="O29" s="225">
        <f t="shared" si="8"/>
        <v>5.2881709595839625</v>
      </c>
      <c r="P29" s="225">
        <f t="shared" si="8"/>
        <v>5.0213467751104286</v>
      </c>
      <c r="Q29" s="225">
        <f t="shared" si="8"/>
        <v>4.7679856851480356</v>
      </c>
      <c r="R29" s="225">
        <f t="shared" si="8"/>
        <v>0</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5">
      <c r="F30" s="304"/>
      <c r="G30" s="304"/>
      <c r="H30" s="304"/>
    </row>
    <row r="31" spans="1:16383" s="242" customFormat="1" x14ac:dyDescent="0.25">
      <c r="A31" s="238"/>
      <c r="B31" s="239"/>
      <c r="C31" s="240"/>
      <c r="D31" s="241"/>
      <c r="E31" s="242" t="str">
        <f>InpR!$E$90</f>
        <v>RCV - CPI(H) + RPI wedge initial balance - nominal - BR</v>
      </c>
      <c r="F31" s="302">
        <f>InpR!$F$90</f>
        <v>71.869584750680133</v>
      </c>
      <c r="G31" s="301" t="str">
        <f>InpR!$G$90</f>
        <v>£m</v>
      </c>
      <c r="H31" s="303"/>
    </row>
    <row r="32" spans="1:16383" s="49" customFormat="1" x14ac:dyDescent="0.25">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5">
      <c r="A33" s="67"/>
      <c r="B33" s="78"/>
      <c r="C33" s="142"/>
      <c r="D33" s="72"/>
      <c r="S33" s="59"/>
      <c r="T33" s="59"/>
      <c r="U33" s="59"/>
      <c r="V33" s="59"/>
      <c r="W33" s="59"/>
      <c r="X33" s="59"/>
      <c r="Y33" s="59"/>
      <c r="Z33" s="59"/>
    </row>
    <row r="34" spans="1:26" s="59" customFormat="1" x14ac:dyDescent="0.25">
      <c r="A34" s="66"/>
      <c r="B34" s="70"/>
      <c r="C34" s="145"/>
      <c r="D34" s="75"/>
      <c r="E34" s="59" t="s">
        <v>138</v>
      </c>
      <c r="G34" s="126" t="s">
        <v>88</v>
      </c>
      <c r="J34" s="293">
        <f t="shared" ref="J34:R34" si="9" xml:space="preserve"> I37</f>
        <v>0</v>
      </c>
      <c r="K34" s="293">
        <f t="shared" si="9"/>
        <v>0</v>
      </c>
      <c r="L34" s="293">
        <f t="shared" si="9"/>
        <v>0</v>
      </c>
      <c r="M34" s="293">
        <f t="shared" si="9"/>
        <v>71.869584750680133</v>
      </c>
      <c r="N34" s="293">
        <f t="shared" si="9"/>
        <v>67.731324717813649</v>
      </c>
      <c r="O34" s="293">
        <f t="shared" si="9"/>
        <v>64.163482063424198</v>
      </c>
      <c r="P34" s="293">
        <f t="shared" si="9"/>
        <v>60.896697120315437</v>
      </c>
      <c r="Q34" s="293">
        <f t="shared" si="9"/>
        <v>57.82404465305514</v>
      </c>
      <c r="R34" s="293">
        <f t="shared" si="9"/>
        <v>54.906428396804856</v>
      </c>
    </row>
    <row r="35" spans="1:26" s="59" customFormat="1" x14ac:dyDescent="0.25">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1.7434189639309403</v>
      </c>
      <c r="N35" s="293">
        <f t="shared" si="10"/>
        <v>2.0040106407606455</v>
      </c>
      <c r="O35" s="293">
        <f t="shared" si="10"/>
        <v>2.021386016475208</v>
      </c>
      <c r="P35" s="293">
        <f t="shared" si="10"/>
        <v>1.9486943078501362</v>
      </c>
      <c r="Q35" s="293">
        <f t="shared" si="10"/>
        <v>1.8503694288977532</v>
      </c>
      <c r="R35" s="293">
        <f t="shared" si="10"/>
        <v>1.647192851904135</v>
      </c>
    </row>
    <row r="36" spans="1:26" s="59" customFormat="1" x14ac:dyDescent="0.25">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5.8816789967974241</v>
      </c>
      <c r="N36" s="293">
        <f t="shared" si="11"/>
        <v>5.5718532951500856</v>
      </c>
      <c r="O36" s="293">
        <f t="shared" si="11"/>
        <v>5.2881709595839625</v>
      </c>
      <c r="P36" s="293">
        <f t="shared" si="11"/>
        <v>5.0213467751104286</v>
      </c>
      <c r="Q36" s="293">
        <f t="shared" si="11"/>
        <v>4.7679856851480356</v>
      </c>
      <c r="R36" s="293">
        <f t="shared" si="11"/>
        <v>0</v>
      </c>
    </row>
    <row r="37" spans="1:26" s="173" customFormat="1" x14ac:dyDescent="0.25">
      <c r="A37" s="169"/>
      <c r="B37" s="170"/>
      <c r="C37" s="171"/>
      <c r="D37" s="172"/>
      <c r="E37" s="173" t="s">
        <v>141</v>
      </c>
      <c r="G37" s="202" t="s">
        <v>88</v>
      </c>
      <c r="J37" s="294">
        <f t="shared" ref="J37:R37" si="12" xml:space="preserve"> IF( J32 = 1, $F31, J34 + J35 - J36)</f>
        <v>0</v>
      </c>
      <c r="K37" s="294">
        <f t="shared" si="12"/>
        <v>0</v>
      </c>
      <c r="L37" s="294">
        <f t="shared" si="12"/>
        <v>71.869584750680133</v>
      </c>
      <c r="M37" s="294">
        <f t="shared" si="12"/>
        <v>67.731324717813649</v>
      </c>
      <c r="N37" s="294">
        <f t="shared" si="12"/>
        <v>64.163482063424198</v>
      </c>
      <c r="O37" s="294">
        <f t="shared" si="12"/>
        <v>60.896697120315437</v>
      </c>
      <c r="P37" s="294">
        <f t="shared" si="12"/>
        <v>57.82404465305514</v>
      </c>
      <c r="Q37" s="294">
        <f t="shared" si="12"/>
        <v>54.906428396804856</v>
      </c>
      <c r="R37" s="294">
        <f t="shared" si="12"/>
        <v>56.553621248708993</v>
      </c>
    </row>
    <row r="39" spans="1:26" s="126" customFormat="1" x14ac:dyDescent="0.25">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71.869584750680133</v>
      </c>
      <c r="N39" s="226">
        <f t="shared" si="13"/>
        <v>67.731324717813649</v>
      </c>
      <c r="O39" s="226">
        <f t="shared" si="13"/>
        <v>64.163482063424198</v>
      </c>
      <c r="P39" s="226">
        <f t="shared" si="13"/>
        <v>60.896697120315437</v>
      </c>
      <c r="Q39" s="226">
        <f t="shared" si="13"/>
        <v>57.82404465305514</v>
      </c>
      <c r="R39" s="226">
        <f t="shared" si="13"/>
        <v>54.906428396804856</v>
      </c>
    </row>
    <row r="40" spans="1:26" s="126" customFormat="1" x14ac:dyDescent="0.25">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1.7434189639309403</v>
      </c>
      <c r="N40" s="293">
        <f t="shared" si="14"/>
        <v>2.0040106407606455</v>
      </c>
      <c r="O40" s="293">
        <f t="shared" si="14"/>
        <v>2.021386016475208</v>
      </c>
      <c r="P40" s="293">
        <f t="shared" si="14"/>
        <v>1.9486943078501362</v>
      </c>
      <c r="Q40" s="293">
        <f t="shared" si="14"/>
        <v>1.8503694288977532</v>
      </c>
      <c r="R40" s="293">
        <f t="shared" si="14"/>
        <v>1.647192851904135</v>
      </c>
    </row>
    <row r="41" spans="1:26" s="126" customFormat="1" x14ac:dyDescent="0.25">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71.869584750680133</v>
      </c>
      <c r="M41" s="226">
        <f t="shared" si="15"/>
        <v>67.731324717813649</v>
      </c>
      <c r="N41" s="226">
        <f t="shared" si="15"/>
        <v>64.163482063424198</v>
      </c>
      <c r="O41" s="226">
        <f t="shared" si="15"/>
        <v>60.896697120315437</v>
      </c>
      <c r="P41" s="226">
        <f t="shared" si="15"/>
        <v>57.82404465305514</v>
      </c>
      <c r="Q41" s="226">
        <f t="shared" si="15"/>
        <v>54.906428396804856</v>
      </c>
      <c r="R41" s="226">
        <f t="shared" si="15"/>
        <v>56.553621248708993</v>
      </c>
    </row>
    <row r="42" spans="1:26" s="126" customFormat="1" x14ac:dyDescent="0.25">
      <c r="A42" s="203"/>
      <c r="B42" s="204"/>
      <c r="C42" s="205"/>
      <c r="D42" s="206"/>
      <c r="E42" s="126" t="s">
        <v>142</v>
      </c>
      <c r="G42" s="126" t="s">
        <v>88</v>
      </c>
      <c r="J42" s="226">
        <f t="shared" ref="J42:L42" si="16" xml:space="preserve"> ( (J39+J40) + J41) / 2</f>
        <v>0</v>
      </c>
      <c r="K42" s="226">
        <f t="shared" si="16"/>
        <v>0</v>
      </c>
      <c r="L42" s="226">
        <f t="shared" si="16"/>
        <v>35.934792375340066</v>
      </c>
      <c r="M42" s="226">
        <f xml:space="preserve"> ( (M39+M40) + M41) / 2</f>
        <v>70.672164216212366</v>
      </c>
      <c r="N42" s="226">
        <f t="shared" ref="N42:R42" si="17" xml:space="preserve"> ( (N39+N40) + N41) / 2</f>
        <v>66.949408710999251</v>
      </c>
      <c r="O42" s="226">
        <f t="shared" si="17"/>
        <v>63.54078260010742</v>
      </c>
      <c r="P42" s="226">
        <f t="shared" si="17"/>
        <v>60.334718040610355</v>
      </c>
      <c r="Q42" s="226">
        <f t="shared" si="17"/>
        <v>57.290421239378873</v>
      </c>
      <c r="R42" s="226">
        <f t="shared" si="17"/>
        <v>56.553621248708993</v>
      </c>
    </row>
    <row r="43" spans="1:26" s="126" customFormat="1" x14ac:dyDescent="0.25">
      <c r="A43" s="203"/>
      <c r="B43" s="204"/>
      <c r="C43" s="205"/>
      <c r="D43" s="206"/>
    </row>
    <row r="44" spans="1:26" x14ac:dyDescent="0.25">
      <c r="B44" s="80" t="s">
        <v>143</v>
      </c>
    </row>
    <row r="45" spans="1:26" s="253" customFormat="1" x14ac:dyDescent="0.25">
      <c r="A45" s="249"/>
      <c r="B45" s="250"/>
      <c r="C45" s="251"/>
      <c r="D45" s="252"/>
      <c r="E45" s="253" t="str">
        <f xml:space="preserve"> InpR!E$104</f>
        <v>WACC on RCV - CPI(H) + RPI wedge bf and additions - BR</v>
      </c>
      <c r="F45" s="253">
        <f xml:space="preserve"> InpR!F$104</f>
        <v>0</v>
      </c>
      <c r="G45" s="271" t="str">
        <f xml:space="preserve"> InpR!G$104</f>
        <v>%</v>
      </c>
      <c r="H45" s="253" t="str">
        <f xml:space="preserve"> InpR!I$104</f>
        <v>PR19 Financial model, 'Bio Resources' sheet row 980</v>
      </c>
      <c r="I45" s="253" t="e">
        <f xml:space="preserve"> InpR!#REF!</f>
        <v>#REF!</v>
      </c>
      <c r="J45" s="253">
        <f xml:space="preserve"> InpR!J$104</f>
        <v>0</v>
      </c>
      <c r="K45" s="253">
        <f xml:space="preserve"> InpR!K$104</f>
        <v>0</v>
      </c>
      <c r="L45" s="253">
        <f xml:space="preserve"> InpR!L$104</f>
        <v>0</v>
      </c>
      <c r="M45" s="253">
        <f xml:space="preserve"> InpR!M$104</f>
        <v>2.2181345335277269E-2</v>
      </c>
      <c r="N45" s="253">
        <f xml:space="preserve"> InpR!N$104</f>
        <v>2.2181345335277269E-2</v>
      </c>
      <c r="O45" s="253">
        <f xml:space="preserve"> InpR!O$104</f>
        <v>2.2181345335277269E-2</v>
      </c>
      <c r="P45" s="253">
        <f xml:space="preserve"> InpR!P$104</f>
        <v>2.2181345335277269E-2</v>
      </c>
      <c r="Q45" s="253">
        <f xml:space="preserve"> InpR!Q$104</f>
        <v>2.2181345335277269E-2</v>
      </c>
      <c r="R45" s="253">
        <f xml:space="preserve"> InpR!R$104</f>
        <v>0</v>
      </c>
    </row>
    <row r="46" spans="1:26" s="126" customFormat="1" x14ac:dyDescent="0.25">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5">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35.934792375340066</v>
      </c>
      <c r="M47" s="225">
        <f t="shared" si="18"/>
        <v>70.672164216212366</v>
      </c>
      <c r="N47" s="225">
        <f t="shared" si="18"/>
        <v>66.949408710999251</v>
      </c>
      <c r="O47" s="225">
        <f t="shared" si="18"/>
        <v>63.54078260010742</v>
      </c>
      <c r="P47" s="225">
        <f t="shared" si="18"/>
        <v>60.334718040610355</v>
      </c>
      <c r="Q47" s="225">
        <f t="shared" si="18"/>
        <v>57.290421239378873</v>
      </c>
      <c r="R47" s="225">
        <f t="shared" si="18"/>
        <v>56.553621248708993</v>
      </c>
      <c r="S47" s="126"/>
      <c r="T47" s="126"/>
      <c r="U47" s="126"/>
      <c r="V47" s="126"/>
      <c r="W47" s="126"/>
      <c r="X47" s="126"/>
      <c r="Y47" s="126"/>
      <c r="Z47" s="126"/>
    </row>
    <row r="48" spans="1:26" s="125" customFormat="1" x14ac:dyDescent="0.25">
      <c r="A48" s="210"/>
      <c r="B48" s="204"/>
      <c r="C48" s="205"/>
      <c r="D48" s="211"/>
      <c r="E48" s="213" t="s">
        <v>144</v>
      </c>
      <c r="G48" s="125" t="s">
        <v>88</v>
      </c>
      <c r="H48" s="225"/>
      <c r="I48" s="225"/>
      <c r="J48" s="225">
        <f t="shared" ref="J48:K48" si="19">J45*J47*J46</f>
        <v>0</v>
      </c>
      <c r="K48" s="225">
        <f t="shared" si="19"/>
        <v>0</v>
      </c>
      <c r="L48" s="225">
        <f>L45*L47*L46</f>
        <v>0</v>
      </c>
      <c r="M48" s="225">
        <f>M45*M47*M46</f>
        <v>1.5676036800712314</v>
      </c>
      <c r="N48" s="225">
        <f t="shared" ref="N48:R48" si="20">N45*N47*N46</f>
        <v>1.4850279546112946</v>
      </c>
      <c r="O48" s="225">
        <f t="shared" si="20"/>
        <v>1.4094200417267597</v>
      </c>
      <c r="P48" s="225">
        <f t="shared" si="20"/>
        <v>1.3383052165653617</v>
      </c>
      <c r="Q48" s="225">
        <f t="shared" si="20"/>
        <v>1.2707786179141662</v>
      </c>
      <c r="R48" s="225">
        <f t="shared" si="20"/>
        <v>0</v>
      </c>
      <c r="S48" s="126"/>
      <c r="T48" s="126"/>
      <c r="U48" s="126"/>
      <c r="V48" s="126"/>
      <c r="W48" s="126"/>
      <c r="X48" s="126"/>
      <c r="Y48" s="126"/>
      <c r="Z48" s="126"/>
    </row>
    <row r="49" spans="1:26" s="125" customFormat="1" x14ac:dyDescent="0.25">
      <c r="A49" s="210"/>
      <c r="B49" s="204"/>
      <c r="C49" s="205"/>
      <c r="D49" s="211"/>
      <c r="S49" s="126"/>
      <c r="T49" s="126"/>
      <c r="U49" s="126"/>
      <c r="V49" s="126"/>
      <c r="W49" s="126"/>
      <c r="X49" s="126"/>
      <c r="Y49" s="126"/>
      <c r="Z49" s="126"/>
    </row>
    <row r="50" spans="1:26" x14ac:dyDescent="0.25">
      <c r="B50" s="80" t="s">
        <v>145</v>
      </c>
    </row>
    <row r="51" spans="1:26" s="125" customFormat="1" x14ac:dyDescent="0.25">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5.8816789967974241</v>
      </c>
      <c r="N51" s="225">
        <f t="shared" si="21"/>
        <v>5.5718532951500856</v>
      </c>
      <c r="O51" s="225">
        <f t="shared" si="21"/>
        <v>5.2881709595839625</v>
      </c>
      <c r="P51" s="225">
        <f t="shared" si="21"/>
        <v>5.0213467751104286</v>
      </c>
      <c r="Q51" s="225">
        <f t="shared" si="21"/>
        <v>4.7679856851480356</v>
      </c>
      <c r="R51" s="225">
        <f t="shared" si="21"/>
        <v>0</v>
      </c>
      <c r="S51" s="126"/>
      <c r="T51" s="126"/>
      <c r="U51" s="126"/>
      <c r="V51" s="126"/>
      <c r="W51" s="126"/>
      <c r="X51" s="126"/>
      <c r="Y51" s="126"/>
      <c r="Z51" s="126"/>
    </row>
    <row r="52" spans="1:26" s="125" customFormat="1" x14ac:dyDescent="0.25">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1.5676036800712314</v>
      </c>
      <c r="N52" s="225">
        <f t="shared" si="22"/>
        <v>1.4850279546112946</v>
      </c>
      <c r="O52" s="225">
        <f t="shared" si="22"/>
        <v>1.4094200417267597</v>
      </c>
      <c r="P52" s="225">
        <f t="shared" si="22"/>
        <v>1.3383052165653617</v>
      </c>
      <c r="Q52" s="225">
        <f t="shared" si="22"/>
        <v>1.2707786179141662</v>
      </c>
      <c r="R52" s="225">
        <f t="shared" si="22"/>
        <v>0</v>
      </c>
      <c r="S52" s="126"/>
      <c r="T52" s="126"/>
      <c r="U52" s="126"/>
      <c r="V52" s="126"/>
      <c r="W52" s="126"/>
      <c r="X52" s="126"/>
      <c r="Y52" s="126"/>
      <c r="Z52" s="126"/>
    </row>
    <row r="53" spans="1:26" s="125" customFormat="1" x14ac:dyDescent="0.25">
      <c r="A53" s="210"/>
      <c r="B53" s="204"/>
      <c r="C53" s="205"/>
      <c r="D53" s="211"/>
      <c r="E53" s="213" t="s">
        <v>146</v>
      </c>
      <c r="G53" s="125" t="str">
        <f xml:space="preserve"> G$48</f>
        <v>£m</v>
      </c>
      <c r="H53" s="225">
        <f>SUM(J53:R53)</f>
        <v>33.602171222678749</v>
      </c>
      <c r="I53" s="225"/>
      <c r="J53" s="225">
        <f t="shared" ref="J53:R53" si="23">SUM(J51:J52)</f>
        <v>0</v>
      </c>
      <c r="K53" s="225">
        <f t="shared" si="23"/>
        <v>0</v>
      </c>
      <c r="L53" s="225">
        <f>SUM(L51:L52)</f>
        <v>0</v>
      </c>
      <c r="M53" s="226">
        <f t="shared" si="23"/>
        <v>7.4492826768686555</v>
      </c>
      <c r="N53" s="226">
        <f t="shared" si="23"/>
        <v>7.0568812497613802</v>
      </c>
      <c r="O53" s="225">
        <f t="shared" si="23"/>
        <v>6.6975910013107223</v>
      </c>
      <c r="P53" s="225">
        <f t="shared" si="23"/>
        <v>6.3596519916757899</v>
      </c>
      <c r="Q53" s="225">
        <f t="shared" si="23"/>
        <v>6.0387643030622016</v>
      </c>
      <c r="R53" s="225">
        <f t="shared" si="23"/>
        <v>0</v>
      </c>
      <c r="S53" s="126"/>
      <c r="T53" s="126"/>
      <c r="U53" s="126"/>
      <c r="V53" s="126"/>
      <c r="W53" s="126"/>
      <c r="X53" s="126"/>
      <c r="Y53" s="126"/>
      <c r="Z53" s="126"/>
    </row>
    <row r="55" spans="1:26" x14ac:dyDescent="0.25">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25">
      <c r="M56" s="218"/>
      <c r="N56" s="218"/>
      <c r="O56" s="218"/>
      <c r="P56" s="218"/>
      <c r="Q56" s="218"/>
    </row>
    <row r="57" spans="1:26" x14ac:dyDescent="0.25">
      <c r="C57" s="144" t="s">
        <v>260</v>
      </c>
      <c r="M57" s="218"/>
      <c r="N57" s="218"/>
      <c r="O57" s="218"/>
      <c r="P57" s="218"/>
      <c r="Q57" s="218"/>
    </row>
    <row r="58" spans="1:26" x14ac:dyDescent="0.25">
      <c r="C58" s="144" t="s">
        <v>261</v>
      </c>
      <c r="M58" s="218"/>
      <c r="N58" s="218"/>
      <c r="O58" s="218"/>
      <c r="P58" s="218"/>
      <c r="Q58" s="218"/>
    </row>
    <row r="59" spans="1:26" x14ac:dyDescent="0.25">
      <c r="C59" s="144" t="s">
        <v>262</v>
      </c>
      <c r="M59" s="218"/>
      <c r="N59" s="218"/>
      <c r="O59" s="218"/>
      <c r="P59" s="218"/>
      <c r="Q59" s="218"/>
    </row>
    <row r="60" spans="1:26" x14ac:dyDescent="0.25">
      <c r="M60" s="218"/>
      <c r="N60" s="218"/>
      <c r="O60" s="218"/>
      <c r="P60" s="218"/>
      <c r="Q60" s="218"/>
    </row>
    <row r="61" spans="1:26" s="125" customFormat="1" x14ac:dyDescent="0.25">
      <c r="A61" s="210"/>
      <c r="B61" s="204"/>
      <c r="C61" s="205"/>
      <c r="D61" s="211"/>
      <c r="E61" s="213" t="s">
        <v>148</v>
      </c>
      <c r="G61" s="125" t="s">
        <v>88</v>
      </c>
      <c r="J61" s="225">
        <f t="shared" ref="J61:R61" si="24" xml:space="preserve"> J53</f>
        <v>0</v>
      </c>
      <c r="K61" s="225">
        <f t="shared" si="24"/>
        <v>0</v>
      </c>
      <c r="L61" s="225">
        <f t="shared" si="24"/>
        <v>0</v>
      </c>
      <c r="M61" s="225">
        <f t="shared" si="24"/>
        <v>7.4492826768686555</v>
      </c>
      <c r="N61" s="225">
        <f t="shared" si="24"/>
        <v>7.0568812497613802</v>
      </c>
      <c r="O61" s="225">
        <f t="shared" si="24"/>
        <v>6.6975910013107223</v>
      </c>
      <c r="P61" s="225">
        <f t="shared" si="24"/>
        <v>6.3596519916757899</v>
      </c>
      <c r="Q61" s="225">
        <f t="shared" si="24"/>
        <v>6.0387643030622016</v>
      </c>
      <c r="R61" s="225">
        <f t="shared" si="24"/>
        <v>0</v>
      </c>
      <c r="S61" s="126"/>
      <c r="T61" s="126"/>
      <c r="U61" s="126"/>
      <c r="V61" s="126"/>
      <c r="W61" s="126"/>
      <c r="X61" s="126"/>
      <c r="Y61" s="126"/>
      <c r="Z61" s="126"/>
    </row>
    <row r="62" spans="1:26" x14ac:dyDescent="0.25">
      <c r="L62" s="299"/>
      <c r="M62" s="341"/>
      <c r="N62" s="341"/>
      <c r="O62" s="341"/>
      <c r="P62" s="341"/>
      <c r="Q62" s="341"/>
      <c r="R62" s="299"/>
    </row>
    <row r="63" spans="1:26" x14ac:dyDescent="0.25">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25">
      <c r="C65" s="144" t="s">
        <v>263</v>
      </c>
    </row>
    <row r="67" spans="1:16383" x14ac:dyDescent="0.25">
      <c r="B67" s="80" t="s">
        <v>149</v>
      </c>
    </row>
    <row r="68" spans="1:16383" s="253" customFormat="1" x14ac:dyDescent="0.25">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5">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9.9975945132209088E-3</v>
      </c>
      <c r="Q69" s="253">
        <f>Index!Q$135</f>
        <v>9.9706606165028688E-3</v>
      </c>
      <c r="R69" s="253">
        <f>Index!R$135</f>
        <v>9.9999999999997868E-3</v>
      </c>
    </row>
    <row r="70" spans="1:16383" s="213" customFormat="1" x14ac:dyDescent="0.25">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3.0997594513221483E-2</v>
      </c>
      <c r="Q70" s="213">
        <f t="shared" si="26"/>
        <v>3.0970660616504109E-2</v>
      </c>
      <c r="R70" s="213">
        <f t="shared" si="26"/>
        <v>2.9999999999998916E-2</v>
      </c>
      <c r="S70" s="218"/>
      <c r="T70" s="218"/>
      <c r="U70" s="218"/>
      <c r="V70" s="218"/>
      <c r="W70" s="218"/>
      <c r="X70" s="218"/>
      <c r="Y70" s="218"/>
      <c r="Z70" s="218"/>
    </row>
    <row r="71" spans="1:16383" s="213" customFormat="1" x14ac:dyDescent="0.25">
      <c r="A71" s="214"/>
      <c r="B71" s="215"/>
      <c r="C71" s="216"/>
      <c r="D71" s="217"/>
      <c r="S71" s="218"/>
      <c r="T71" s="218"/>
      <c r="U71" s="218"/>
      <c r="V71" s="218"/>
      <c r="W71" s="218"/>
      <c r="X71" s="218"/>
      <c r="Y71" s="218"/>
      <c r="Z71" s="218"/>
    </row>
    <row r="72" spans="1:16383" x14ac:dyDescent="0.25">
      <c r="B72" s="80" t="s">
        <v>151</v>
      </c>
    </row>
    <row r="73" spans="1:16383" s="199" customFormat="1" x14ac:dyDescent="0.25">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71.869584750680133</v>
      </c>
      <c r="N73" s="292">
        <f t="shared" si="27"/>
        <v>67.483432855684072</v>
      </c>
      <c r="O73" s="292">
        <f t="shared" si="27"/>
        <v>64.641408223134292</v>
      </c>
      <c r="P73" s="292">
        <f t="shared" si="27"/>
        <v>63.149199755614319</v>
      </c>
      <c r="Q73" s="292">
        <f t="shared" si="27"/>
        <v>59.904649867299767</v>
      </c>
      <c r="R73" s="292">
        <f t="shared" si="27"/>
        <v>56.825317525519949</v>
      </c>
    </row>
    <row r="74" spans="1:16383" s="213" customFormat="1" x14ac:dyDescent="0.25">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3.0997594513221483E-2</v>
      </c>
      <c r="Q74" s="213">
        <f t="shared" si="28"/>
        <v>3.0970660616504109E-2</v>
      </c>
      <c r="R74" s="213">
        <f t="shared" si="28"/>
        <v>2.9999999999998916E-2</v>
      </c>
      <c r="S74" s="218"/>
      <c r="T74" s="218"/>
      <c r="U74" s="218"/>
      <c r="V74" s="218"/>
      <c r="W74" s="218"/>
      <c r="X74" s="218"/>
      <c r="Y74" s="218"/>
      <c r="Z74" s="218"/>
    </row>
    <row r="75" spans="1:16383" x14ac:dyDescent="0.25">
      <c r="E75" s="56" t="s">
        <v>152</v>
      </c>
      <c r="G75" s="201" t="s">
        <v>88</v>
      </c>
      <c r="J75" s="225">
        <f t="shared" ref="J75:L75" si="29">J73*J74</f>
        <v>0</v>
      </c>
      <c r="K75" s="225">
        <f t="shared" si="29"/>
        <v>0</v>
      </c>
      <c r="L75" s="225">
        <f t="shared" si="29"/>
        <v>0</v>
      </c>
      <c r="M75" s="225">
        <f>M73*M74</f>
        <v>1.4740005723109209</v>
      </c>
      <c r="N75" s="225">
        <f t="shared" ref="N75:R75" si="30">N73*N74</f>
        <v>2.7713309994776369</v>
      </c>
      <c r="O75" s="225">
        <f t="shared" si="30"/>
        <v>3.9915661879235462</v>
      </c>
      <c r="P75" s="225">
        <f t="shared" si="30"/>
        <v>1.9574732878589578</v>
      </c>
      <c r="Q75" s="225">
        <f t="shared" si="30"/>
        <v>1.8552865803906491</v>
      </c>
      <c r="R75" s="225">
        <f t="shared" si="30"/>
        <v>1.7047595257655368</v>
      </c>
    </row>
    <row r="77" spans="1:16383" s="253" customFormat="1" x14ac:dyDescent="0.25">
      <c r="A77" s="249"/>
      <c r="B77" s="250"/>
      <c r="C77" s="251"/>
      <c r="D77" s="252"/>
      <c r="E77" s="49" t="str">
        <f xml:space="preserve"> InpR!E$97</f>
        <v>Run-off rate - CPI(H) + RPI wedge - active - BR</v>
      </c>
      <c r="F77" s="253">
        <f xml:space="preserve"> InpR!F$97</f>
        <v>0</v>
      </c>
      <c r="G77" s="271" t="str">
        <f xml:space="preserve"> InpR!G$97</f>
        <v>%</v>
      </c>
      <c r="H77" s="253" t="str">
        <f xml:space="preserve"> InpR!I$97</f>
        <v>PR19 Financial model, 'F_OutputsMaster' sheet row 962, PR19FM2099POST</v>
      </c>
      <c r="I77" s="253" t="e">
        <f xml:space="preserve"> InpR!#REF!</f>
        <v>#REF!</v>
      </c>
      <c r="J77" s="253">
        <f xml:space="preserve"> InpR!J$97</f>
        <v>0</v>
      </c>
      <c r="K77" s="253">
        <f xml:space="preserve"> InpR!K$97</f>
        <v>0</v>
      </c>
      <c r="L77" s="253">
        <f xml:space="preserve"> InpR!L$97</f>
        <v>0</v>
      </c>
      <c r="M77" s="253">
        <f xml:space="preserve"> InpR!M$97</f>
        <v>7.9899999999999999E-2</v>
      </c>
      <c r="N77" s="253">
        <f xml:space="preserve"> InpR!N$97</f>
        <v>7.9899999999999999E-2</v>
      </c>
      <c r="O77" s="253">
        <f xml:space="preserve"> InpR!O$97</f>
        <v>7.9899999999999999E-2</v>
      </c>
      <c r="P77" s="253">
        <f xml:space="preserve"> InpR!P$97</f>
        <v>7.9899999999999999E-2</v>
      </c>
      <c r="Q77" s="253">
        <f xml:space="preserve"> InpR!Q$97</f>
        <v>7.9899999999999999E-2</v>
      </c>
      <c r="R77" s="253">
        <f xml:space="preserve"> InpR!R$97</f>
        <v>0</v>
      </c>
    </row>
    <row r="78" spans="1:16383" s="199" customFormat="1" x14ac:dyDescent="0.25">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71.869584750680133</v>
      </c>
      <c r="N78" s="292">
        <f t="shared" si="31"/>
        <v>67.483432855684072</v>
      </c>
      <c r="O78" s="292">
        <f t="shared" si="31"/>
        <v>64.641408223134292</v>
      </c>
      <c r="P78" s="292">
        <f t="shared" si="31"/>
        <v>63.149199755614319</v>
      </c>
      <c r="Q78" s="292">
        <f t="shared" si="31"/>
        <v>59.904649867299767</v>
      </c>
      <c r="R78" s="292">
        <f t="shared" si="31"/>
        <v>56.825317525519949</v>
      </c>
    </row>
    <row r="79" spans="1:16383" x14ac:dyDescent="0.25">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1.4740005723109209</v>
      </c>
      <c r="N79" s="225">
        <f t="shared" si="32"/>
        <v>2.7713309994776369</v>
      </c>
      <c r="O79" s="225">
        <f t="shared" si="32"/>
        <v>3.9915661879235462</v>
      </c>
      <c r="P79" s="225">
        <f t="shared" si="32"/>
        <v>1.9574732878589578</v>
      </c>
      <c r="Q79" s="225">
        <f t="shared" si="32"/>
        <v>1.8552865803906491</v>
      </c>
      <c r="R79" s="225">
        <f t="shared" si="32"/>
        <v>1.7047595257655368</v>
      </c>
    </row>
    <row r="80" spans="1:16383" x14ac:dyDescent="0.25">
      <c r="E80" s="56" t="s">
        <v>153</v>
      </c>
      <c r="F80" s="295"/>
      <c r="G80" s="295" t="s">
        <v>88</v>
      </c>
      <c r="H80" s="295"/>
      <c r="I80" s="295"/>
      <c r="J80" s="225">
        <f t="shared" ref="J80:R80" si="33" xml:space="preserve"> (J78+J79) * J77</f>
        <v>0</v>
      </c>
      <c r="K80" s="225">
        <f t="shared" si="33"/>
        <v>0</v>
      </c>
      <c r="L80" s="225">
        <f t="shared" si="33"/>
        <v>0</v>
      </c>
      <c r="M80" s="225">
        <f t="shared" si="33"/>
        <v>5.8601524673069854</v>
      </c>
      <c r="N80" s="225">
        <f xml:space="preserve"> (N78+N79) * N77</f>
        <v>5.6133556320274209</v>
      </c>
      <c r="O80" s="225">
        <f t="shared" si="33"/>
        <v>5.4837746554435221</v>
      </c>
      <c r="P80" s="225">
        <f t="shared" si="33"/>
        <v>5.2020231761735145</v>
      </c>
      <c r="Q80" s="225">
        <f t="shared" si="33"/>
        <v>4.9346189221704639</v>
      </c>
      <c r="R80" s="225">
        <f t="shared" si="33"/>
        <v>0</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5">
      <c r="F81" s="304"/>
      <c r="G81" s="304"/>
      <c r="H81" s="304"/>
    </row>
    <row r="82" spans="1:26" s="242" customFormat="1" x14ac:dyDescent="0.25">
      <c r="A82" s="238"/>
      <c r="B82" s="239"/>
      <c r="C82" s="240"/>
      <c r="D82" s="241"/>
      <c r="E82" s="242" t="str">
        <f>InpR!$E$90</f>
        <v>RCV - CPI(H) + RPI wedge initial balance - nominal - BR</v>
      </c>
      <c r="F82" s="302">
        <f>InpR!$F$90</f>
        <v>71.869584750680133</v>
      </c>
      <c r="G82" s="301" t="str">
        <f>InpR!$G$90</f>
        <v>£m</v>
      </c>
      <c r="H82" s="303"/>
    </row>
    <row r="83" spans="1:26" s="49" customFormat="1" x14ac:dyDescent="0.25">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5">
      <c r="A84" s="67"/>
      <c r="B84" s="78"/>
      <c r="C84" s="142"/>
      <c r="D84" s="72"/>
      <c r="S84" s="59"/>
      <c r="T84" s="59"/>
      <c r="U84" s="59"/>
      <c r="V84" s="59"/>
      <c r="W84" s="59"/>
      <c r="X84" s="59"/>
      <c r="Y84" s="59"/>
      <c r="Z84" s="59"/>
    </row>
    <row r="85" spans="1:26" s="59" customFormat="1" x14ac:dyDescent="0.25">
      <c r="A85" s="66"/>
      <c r="B85" s="70"/>
      <c r="C85" s="145"/>
      <c r="D85" s="75"/>
      <c r="E85" s="56" t="s">
        <v>154</v>
      </c>
      <c r="G85" s="201" t="s">
        <v>88</v>
      </c>
      <c r="J85" s="293">
        <f t="shared" ref="J85:R85" si="34" xml:space="preserve"> I88</f>
        <v>0</v>
      </c>
      <c r="K85" s="293">
        <f t="shared" si="34"/>
        <v>0</v>
      </c>
      <c r="L85" s="293">
        <f t="shared" si="34"/>
        <v>0</v>
      </c>
      <c r="M85" s="293">
        <f t="shared" si="34"/>
        <v>71.869584750680133</v>
      </c>
      <c r="N85" s="293">
        <f t="shared" si="34"/>
        <v>67.483432855684072</v>
      </c>
      <c r="O85" s="293">
        <f t="shared" si="34"/>
        <v>64.641408223134292</v>
      </c>
      <c r="P85" s="293">
        <f t="shared" si="34"/>
        <v>63.149199755614319</v>
      </c>
      <c r="Q85" s="293">
        <f t="shared" si="34"/>
        <v>59.904649867299767</v>
      </c>
      <c r="R85" s="293">
        <f t="shared" si="34"/>
        <v>56.825317525519949</v>
      </c>
    </row>
    <row r="86" spans="1:26" s="59" customFormat="1" x14ac:dyDescent="0.25">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1.4740005723109209</v>
      </c>
      <c r="N86" s="293">
        <f t="shared" si="35"/>
        <v>2.7713309994776369</v>
      </c>
      <c r="O86" s="293">
        <f t="shared" si="35"/>
        <v>3.9915661879235462</v>
      </c>
      <c r="P86" s="293">
        <f t="shared" si="35"/>
        <v>1.9574732878589578</v>
      </c>
      <c r="Q86" s="293">
        <f t="shared" si="35"/>
        <v>1.8552865803906491</v>
      </c>
      <c r="R86" s="293">
        <f t="shared" si="35"/>
        <v>1.7047595257655368</v>
      </c>
    </row>
    <row r="87" spans="1:26" s="59" customFormat="1" x14ac:dyDescent="0.25">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5.8601524673069854</v>
      </c>
      <c r="N87" s="293">
        <f t="shared" si="36"/>
        <v>5.6133556320274209</v>
      </c>
      <c r="O87" s="293">
        <f t="shared" si="36"/>
        <v>5.4837746554435221</v>
      </c>
      <c r="P87" s="293">
        <f t="shared" si="36"/>
        <v>5.2020231761735145</v>
      </c>
      <c r="Q87" s="293">
        <f t="shared" si="36"/>
        <v>4.9346189221704639</v>
      </c>
      <c r="R87" s="293">
        <f t="shared" si="36"/>
        <v>0</v>
      </c>
    </row>
    <row r="88" spans="1:26" s="173" customFormat="1" x14ac:dyDescent="0.25">
      <c r="A88" s="169"/>
      <c r="B88" s="170"/>
      <c r="C88" s="171"/>
      <c r="D88" s="172"/>
      <c r="E88" s="173" t="s">
        <v>155</v>
      </c>
      <c r="G88" s="202" t="s">
        <v>88</v>
      </c>
      <c r="J88" s="294">
        <f t="shared" ref="J88:R88" si="37" xml:space="preserve"> IF( J83 = 1, $F82, J85 + J86 - J87)</f>
        <v>0</v>
      </c>
      <c r="K88" s="294">
        <f t="shared" si="37"/>
        <v>0</v>
      </c>
      <c r="L88" s="294">
        <f t="shared" si="37"/>
        <v>71.869584750680133</v>
      </c>
      <c r="M88" s="294">
        <f t="shared" si="37"/>
        <v>67.483432855684072</v>
      </c>
      <c r="N88" s="294">
        <f t="shared" si="37"/>
        <v>64.641408223134292</v>
      </c>
      <c r="O88" s="294">
        <f t="shared" si="37"/>
        <v>63.149199755614319</v>
      </c>
      <c r="P88" s="294">
        <f t="shared" si="37"/>
        <v>59.904649867299767</v>
      </c>
      <c r="Q88" s="294">
        <f t="shared" si="37"/>
        <v>56.825317525519949</v>
      </c>
      <c r="R88" s="294">
        <f t="shared" si="37"/>
        <v>58.530077051285488</v>
      </c>
    </row>
    <row r="90" spans="1:26" s="126" customFormat="1" x14ac:dyDescent="0.25">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71.869584750680133</v>
      </c>
      <c r="N90" s="226">
        <f t="shared" si="38"/>
        <v>67.483432855684072</v>
      </c>
      <c r="O90" s="226">
        <f t="shared" si="38"/>
        <v>64.641408223134292</v>
      </c>
      <c r="P90" s="226">
        <f t="shared" si="38"/>
        <v>63.149199755614319</v>
      </c>
      <c r="Q90" s="226">
        <f t="shared" si="38"/>
        <v>59.904649867299767</v>
      </c>
      <c r="R90" s="226">
        <f t="shared" si="38"/>
        <v>56.825317525519949</v>
      </c>
    </row>
    <row r="91" spans="1:26" s="126" customFormat="1" x14ac:dyDescent="0.25">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1.4740005723109209</v>
      </c>
      <c r="N91" s="293">
        <f t="shared" si="39"/>
        <v>2.7713309994776369</v>
      </c>
      <c r="O91" s="293">
        <f t="shared" si="39"/>
        <v>3.9915661879235462</v>
      </c>
      <c r="P91" s="293">
        <f t="shared" si="39"/>
        <v>1.9574732878589578</v>
      </c>
      <c r="Q91" s="293">
        <f t="shared" si="39"/>
        <v>1.8552865803906491</v>
      </c>
      <c r="R91" s="293">
        <f t="shared" si="39"/>
        <v>1.7047595257655368</v>
      </c>
    </row>
    <row r="92" spans="1:26" s="126" customFormat="1" x14ac:dyDescent="0.25">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71.869584750680133</v>
      </c>
      <c r="M92" s="226">
        <f t="shared" si="40"/>
        <v>67.483432855684072</v>
      </c>
      <c r="N92" s="226">
        <f t="shared" si="40"/>
        <v>64.641408223134292</v>
      </c>
      <c r="O92" s="226">
        <f t="shared" si="40"/>
        <v>63.149199755614319</v>
      </c>
      <c r="P92" s="226">
        <f t="shared" si="40"/>
        <v>59.904649867299767</v>
      </c>
      <c r="Q92" s="226">
        <f t="shared" si="40"/>
        <v>56.825317525519949</v>
      </c>
      <c r="R92" s="226">
        <f t="shared" si="40"/>
        <v>58.530077051285488</v>
      </c>
    </row>
    <row r="93" spans="1:26" s="60" customFormat="1" x14ac:dyDescent="0.25">
      <c r="A93" s="68"/>
      <c r="B93" s="80"/>
      <c r="C93" s="144"/>
      <c r="D93" s="76"/>
      <c r="E93" s="56" t="s">
        <v>173</v>
      </c>
      <c r="G93" s="126" t="s">
        <v>88</v>
      </c>
      <c r="H93" s="296"/>
      <c r="I93" s="296"/>
      <c r="J93" s="226">
        <f t="shared" ref="J93:K93" si="41" xml:space="preserve"> ( (J90+J91) + J92) / 2</f>
        <v>0</v>
      </c>
      <c r="K93" s="226">
        <f t="shared" si="41"/>
        <v>0</v>
      </c>
      <c r="L93" s="226">
        <f xml:space="preserve"> ( (L90+L91) + L92) / 2</f>
        <v>35.934792375340066</v>
      </c>
      <c r="M93" s="226">
        <f xml:space="preserve"> ( (M90+M91) + M92) / 2</f>
        <v>70.413509089337566</v>
      </c>
      <c r="N93" s="226">
        <f t="shared" ref="N93:P93" si="42" xml:space="preserve"> ( (N90+N91) + N92) / 2</f>
        <v>67.448086039147995</v>
      </c>
      <c r="O93" s="226">
        <f t="shared" si="42"/>
        <v>65.891087083336089</v>
      </c>
      <c r="P93" s="226">
        <f t="shared" si="42"/>
        <v>62.505661455386523</v>
      </c>
      <c r="Q93" s="226">
        <f xml:space="preserve"> ( (Q90+Q91) + Q92) / 2</f>
        <v>59.292626986605185</v>
      </c>
      <c r="R93" s="226">
        <f t="shared" ref="R93" si="43" xml:space="preserve"> ( (R90+R91) + R92) / 2</f>
        <v>58.530077051285488</v>
      </c>
    </row>
    <row r="94" spans="1:26" s="60" customFormat="1" x14ac:dyDescent="0.25">
      <c r="A94" s="68"/>
      <c r="B94" s="80"/>
      <c r="C94" s="144"/>
      <c r="D94" s="76"/>
      <c r="J94" s="126"/>
      <c r="K94" s="126"/>
      <c r="L94" s="126"/>
      <c r="M94" s="126"/>
      <c r="N94" s="126"/>
      <c r="O94" s="126"/>
      <c r="P94" s="126"/>
      <c r="Q94" s="126"/>
      <c r="R94" s="126"/>
    </row>
    <row r="95" spans="1:26" x14ac:dyDescent="0.25">
      <c r="B95" s="80" t="s">
        <v>156</v>
      </c>
    </row>
    <row r="96" spans="1:26" s="253" customFormat="1" x14ac:dyDescent="0.25">
      <c r="A96" s="249"/>
      <c r="B96" s="250"/>
      <c r="C96" s="251"/>
      <c r="D96" s="252"/>
      <c r="E96" s="253" t="str">
        <f xml:space="preserve"> InpR!E$104</f>
        <v>WACC on RCV - CPI(H) + RPI wedge bf and additions - BR</v>
      </c>
      <c r="F96" s="253">
        <f xml:space="preserve"> InpR!F$104</f>
        <v>0</v>
      </c>
      <c r="G96" s="271" t="str">
        <f xml:space="preserve"> InpR!G$104</f>
        <v>%</v>
      </c>
      <c r="H96" s="253" t="str">
        <f xml:space="preserve"> InpR!I$104</f>
        <v>PR19 Financial model, 'Bio Resources' sheet row 980</v>
      </c>
      <c r="I96" s="253" t="e">
        <f xml:space="preserve"> InpR!#REF!</f>
        <v>#REF!</v>
      </c>
      <c r="J96" s="253">
        <f xml:space="preserve"> InpR!J$104</f>
        <v>0</v>
      </c>
      <c r="K96" s="253">
        <f xml:space="preserve"> InpR!K$104</f>
        <v>0</v>
      </c>
      <c r="L96" s="253">
        <f xml:space="preserve"> InpR!L$104</f>
        <v>0</v>
      </c>
      <c r="M96" s="253">
        <f xml:space="preserve"> InpR!M$104</f>
        <v>2.2181345335277269E-2</v>
      </c>
      <c r="N96" s="253">
        <f xml:space="preserve"> InpR!N$104</f>
        <v>2.2181345335277269E-2</v>
      </c>
      <c r="O96" s="253">
        <f xml:space="preserve"> InpR!O$104</f>
        <v>2.2181345335277269E-2</v>
      </c>
      <c r="P96" s="253">
        <f xml:space="preserve"> InpR!P$104</f>
        <v>2.2181345335277269E-2</v>
      </c>
      <c r="Q96" s="253">
        <f xml:space="preserve"> InpR!Q$104</f>
        <v>2.2181345335277269E-2</v>
      </c>
      <c r="R96" s="253">
        <f xml:space="preserve"> InpR!R$104</f>
        <v>0</v>
      </c>
    </row>
    <row r="97" spans="1:26" s="126" customFormat="1" x14ac:dyDescent="0.25">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5">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35.934792375340066</v>
      </c>
      <c r="M98" s="225">
        <f t="shared" si="44"/>
        <v>70.413509089337566</v>
      </c>
      <c r="N98" s="225">
        <f t="shared" si="44"/>
        <v>67.448086039147995</v>
      </c>
      <c r="O98" s="225">
        <f t="shared" si="44"/>
        <v>65.891087083336089</v>
      </c>
      <c r="P98" s="225">
        <f t="shared" si="44"/>
        <v>62.505661455386523</v>
      </c>
      <c r="Q98" s="225">
        <f t="shared" si="44"/>
        <v>59.292626986605185</v>
      </c>
      <c r="R98" s="225">
        <f t="shared" si="44"/>
        <v>58.530077051285488</v>
      </c>
    </row>
    <row r="99" spans="1:26" x14ac:dyDescent="0.25">
      <c r="E99" s="56" t="s">
        <v>157</v>
      </c>
      <c r="F99" s="295"/>
      <c r="G99" s="225" t="s">
        <v>88</v>
      </c>
      <c r="H99" s="295"/>
      <c r="I99" s="295"/>
      <c r="J99" s="295">
        <f t="shared" ref="J99:K99" si="45">J96*J97*J98</f>
        <v>0</v>
      </c>
      <c r="K99" s="295">
        <f t="shared" si="45"/>
        <v>0</v>
      </c>
      <c r="L99" s="295">
        <f>L96*L97*L98</f>
        <v>0</v>
      </c>
      <c r="M99" s="295">
        <f>M96*M97*M98</f>
        <v>1.5618663613792814</v>
      </c>
      <c r="N99" s="295">
        <f t="shared" ref="N99:R99" si="46">N96*N97*N98</f>
        <v>1.4960892886378352</v>
      </c>
      <c r="O99" s="295">
        <f t="shared" si="46"/>
        <v>1.4615529571123054</v>
      </c>
      <c r="P99" s="295">
        <f t="shared" si="46"/>
        <v>1.3864596621518581</v>
      </c>
      <c r="Q99" s="295">
        <f t="shared" si="46"/>
        <v>1.3151902350256701</v>
      </c>
      <c r="R99" s="295">
        <f t="shared" si="46"/>
        <v>0</v>
      </c>
    </row>
    <row r="101" spans="1:26" x14ac:dyDescent="0.25">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5">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71.869584750680133</v>
      </c>
      <c r="M102" s="226">
        <f t="shared" si="47"/>
        <v>67.483432855684072</v>
      </c>
      <c r="N102" s="226">
        <f t="shared" si="47"/>
        <v>64.641408223134292</v>
      </c>
      <c r="O102" s="226">
        <f t="shared" si="47"/>
        <v>63.149199755614319</v>
      </c>
      <c r="P102" s="226">
        <f t="shared" si="47"/>
        <v>59.904649867299767</v>
      </c>
      <c r="Q102" s="226">
        <f t="shared" si="47"/>
        <v>56.825317525519949</v>
      </c>
      <c r="R102" s="226">
        <f t="shared" si="47"/>
        <v>58.530077051285488</v>
      </c>
    </row>
    <row r="103" spans="1:26" x14ac:dyDescent="0.25">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56.825317525519949</v>
      </c>
      <c r="R103" s="225">
        <f t="shared" si="48"/>
        <v>0</v>
      </c>
    </row>
    <row r="104" spans="1:26" x14ac:dyDescent="0.25">
      <c r="J104" s="125"/>
      <c r="K104" s="125"/>
      <c r="L104" s="125"/>
      <c r="M104" s="125"/>
      <c r="N104" s="125"/>
      <c r="O104" s="125"/>
      <c r="P104" s="125"/>
      <c r="Q104" s="125"/>
      <c r="R104" s="125"/>
    </row>
    <row r="105" spans="1:26" x14ac:dyDescent="0.25">
      <c r="B105" s="80" t="s">
        <v>158</v>
      </c>
    </row>
    <row r="106" spans="1:26" x14ac:dyDescent="0.25">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5.8601524673069854</v>
      </c>
      <c r="N106" s="225">
        <f t="shared" si="49"/>
        <v>5.6133556320274209</v>
      </c>
      <c r="O106" s="225">
        <f t="shared" si="49"/>
        <v>5.4837746554435221</v>
      </c>
      <c r="P106" s="225">
        <f t="shared" si="49"/>
        <v>5.2020231761735145</v>
      </c>
      <c r="Q106" s="225">
        <f t="shared" si="49"/>
        <v>4.9346189221704639</v>
      </c>
      <c r="R106" s="225">
        <f t="shared" si="49"/>
        <v>0</v>
      </c>
    </row>
    <row r="107" spans="1:26" s="125" customFormat="1" x14ac:dyDescent="0.25">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1.5618663613792814</v>
      </c>
      <c r="N107" s="225">
        <f t="shared" si="50"/>
        <v>1.4960892886378352</v>
      </c>
      <c r="O107" s="225">
        <f t="shared" si="50"/>
        <v>1.4615529571123054</v>
      </c>
      <c r="P107" s="225">
        <f t="shared" si="50"/>
        <v>1.3864596621518581</v>
      </c>
      <c r="Q107" s="225">
        <f t="shared" si="50"/>
        <v>1.3151902350256701</v>
      </c>
      <c r="R107" s="225">
        <f t="shared" si="50"/>
        <v>0</v>
      </c>
      <c r="S107" s="126"/>
      <c r="T107" s="126"/>
      <c r="U107" s="126"/>
      <c r="V107" s="126"/>
      <c r="W107" s="126"/>
      <c r="X107" s="126"/>
      <c r="Y107" s="126"/>
      <c r="Z107" s="126"/>
    </row>
    <row r="108" spans="1:26" x14ac:dyDescent="0.25">
      <c r="E108" s="56" t="s">
        <v>266</v>
      </c>
      <c r="F108" s="295"/>
      <c r="G108" s="225" t="str">
        <f t="shared" si="50"/>
        <v>£m</v>
      </c>
      <c r="H108" s="295">
        <f>SUM(J108:R108)</f>
        <v>34.315083357428861</v>
      </c>
      <c r="I108" s="295"/>
      <c r="J108" s="295">
        <f t="shared" ref="J108:R108" si="51">SUM(J106:J107)</f>
        <v>0</v>
      </c>
      <c r="K108" s="295">
        <f t="shared" si="51"/>
        <v>0</v>
      </c>
      <c r="L108" s="295">
        <f t="shared" si="51"/>
        <v>0</v>
      </c>
      <c r="M108" s="295">
        <f t="shared" si="51"/>
        <v>7.4220188286862667</v>
      </c>
      <c r="N108" s="295">
        <f t="shared" si="51"/>
        <v>7.1094449206652559</v>
      </c>
      <c r="O108" s="295">
        <f t="shared" si="51"/>
        <v>6.9453276125558272</v>
      </c>
      <c r="P108" s="295">
        <f t="shared" si="51"/>
        <v>6.5884828383253726</v>
      </c>
      <c r="Q108" s="295">
        <f t="shared" si="51"/>
        <v>6.2498091571961343</v>
      </c>
      <c r="R108" s="295">
        <f t="shared" si="51"/>
        <v>0</v>
      </c>
    </row>
    <row r="110" spans="1:26" x14ac:dyDescent="0.25">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25">
      <c r="C112" s="144" t="s">
        <v>265</v>
      </c>
    </row>
    <row r="114" spans="1:26" x14ac:dyDescent="0.25">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7.4492826768686555</v>
      </c>
      <c r="N114" s="225">
        <f t="shared" si="52"/>
        <v>7.0568812497613802</v>
      </c>
      <c r="O114" s="225">
        <f t="shared" si="52"/>
        <v>6.6975910013107223</v>
      </c>
      <c r="P114" s="225">
        <f t="shared" si="52"/>
        <v>6.3596519916757899</v>
      </c>
      <c r="Q114" s="225">
        <f t="shared" si="52"/>
        <v>6.0387643030622016</v>
      </c>
      <c r="R114" s="225">
        <f xml:space="preserve"> R$61</f>
        <v>0</v>
      </c>
    </row>
    <row r="115" spans="1:26" x14ac:dyDescent="0.25">
      <c r="E115" s="56" t="str">
        <f t="shared" ref="E115:R115" si="53" xml:space="preserve"> E$108</f>
        <v>Total nominal revenue company should have received</v>
      </c>
      <c r="F115" s="225">
        <f t="shared" si="53"/>
        <v>0</v>
      </c>
      <c r="G115" s="225" t="str">
        <f t="shared" si="53"/>
        <v>£m</v>
      </c>
      <c r="H115" s="225">
        <f t="shared" si="53"/>
        <v>34.315083357428861</v>
      </c>
      <c r="I115" s="225">
        <f t="shared" si="53"/>
        <v>0</v>
      </c>
      <c r="J115" s="225">
        <f t="shared" si="53"/>
        <v>0</v>
      </c>
      <c r="K115" s="225">
        <f t="shared" si="53"/>
        <v>0</v>
      </c>
      <c r="L115" s="225">
        <f t="shared" si="53"/>
        <v>0</v>
      </c>
      <c r="M115" s="225">
        <f t="shared" si="53"/>
        <v>7.4220188286862667</v>
      </c>
      <c r="N115" s="225">
        <f t="shared" si="53"/>
        <v>7.1094449206652559</v>
      </c>
      <c r="O115" s="225">
        <f t="shared" si="53"/>
        <v>6.9453276125558272</v>
      </c>
      <c r="P115" s="225">
        <f t="shared" si="53"/>
        <v>6.5884828383253726</v>
      </c>
      <c r="Q115" s="225">
        <f t="shared" si="53"/>
        <v>6.2498091571961343</v>
      </c>
      <c r="R115" s="225">
        <f t="shared" si="53"/>
        <v>0</v>
      </c>
    </row>
    <row r="116" spans="1:26" s="225" customFormat="1" x14ac:dyDescent="0.25">
      <c r="A116" s="221"/>
      <c r="B116" s="222"/>
      <c r="C116" s="223"/>
      <c r="D116" s="224"/>
      <c r="E116" s="56" t="s">
        <v>267</v>
      </c>
      <c r="G116" s="225" t="str">
        <f t="shared" ref="G116" si="54" xml:space="preserve"> G$99</f>
        <v>£m</v>
      </c>
      <c r="H116" s="295">
        <f>SUM(J116:R116)</f>
        <v>0.71291213475010728</v>
      </c>
      <c r="M116" s="225">
        <f>M115-M114</f>
        <v>-2.7263848182388806E-2</v>
      </c>
      <c r="N116" s="225">
        <f t="shared" ref="N116:Q116" si="55">N115-N114</f>
        <v>5.2563670903875703E-2</v>
      </c>
      <c r="O116" s="225">
        <f t="shared" si="55"/>
        <v>0.24773661124510493</v>
      </c>
      <c r="P116" s="225">
        <f t="shared" si="55"/>
        <v>0.22883084664958275</v>
      </c>
      <c r="Q116" s="225">
        <f t="shared" si="55"/>
        <v>0.2110448541339327</v>
      </c>
      <c r="S116" s="226"/>
      <c r="T116" s="226"/>
      <c r="U116" s="226"/>
      <c r="V116" s="226"/>
      <c r="W116" s="226"/>
      <c r="X116" s="226"/>
      <c r="Y116" s="226"/>
      <c r="Z116" s="226"/>
    </row>
    <row r="118" spans="1:26" x14ac:dyDescent="0.25">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25">
      <c r="C120" s="144" t="s">
        <v>264</v>
      </c>
    </row>
    <row r="121" spans="1:26" x14ac:dyDescent="0.25">
      <c r="C121" s="144" t="s">
        <v>159</v>
      </c>
    </row>
    <row r="122" spans="1:26" x14ac:dyDescent="0.25">
      <c r="C122" s="144" t="s">
        <v>160</v>
      </c>
    </row>
    <row r="124" spans="1:26" s="253" customFormat="1" x14ac:dyDescent="0.25">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5">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5">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25">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71.869584750680133</v>
      </c>
      <c r="N128" s="297">
        <f t="shared" si="58"/>
        <v>67.731324717813649</v>
      </c>
      <c r="O128" s="297">
        <f t="shared" si="58"/>
        <v>64.163482063424198</v>
      </c>
      <c r="P128" s="297">
        <f t="shared" si="58"/>
        <v>60.896697120315437</v>
      </c>
      <c r="Q128" s="297">
        <f t="shared" si="58"/>
        <v>57.82404465305514</v>
      </c>
      <c r="R128" s="297">
        <f t="shared" si="58"/>
        <v>54.906428396804856</v>
      </c>
    </row>
    <row r="129" spans="1:16383" x14ac:dyDescent="0.25">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25">
      <c r="A130" s="89"/>
      <c r="B130" s="95"/>
      <c r="C130" s="332"/>
      <c r="D130" s="91"/>
      <c r="E130" s="56" t="s">
        <v>162</v>
      </c>
      <c r="G130" s="125" t="s">
        <v>88</v>
      </c>
      <c r="J130" s="298">
        <f>J128*J129</f>
        <v>0</v>
      </c>
      <c r="K130" s="298">
        <f t="shared" ref="K130:L130" si="60">K128*K129</f>
        <v>0</v>
      </c>
      <c r="L130" s="298">
        <f t="shared" si="60"/>
        <v>0</v>
      </c>
      <c r="M130" s="298">
        <f>M128*M129</f>
        <v>1.7434189639309403</v>
      </c>
      <c r="N130" s="298">
        <f t="shared" ref="N130:R130" si="61">N128*N129</f>
        <v>2.0040106407606455</v>
      </c>
      <c r="O130" s="298">
        <f t="shared" si="61"/>
        <v>2.021386016475208</v>
      </c>
      <c r="P130" s="298">
        <f t="shared" si="61"/>
        <v>1.9486943078501362</v>
      </c>
      <c r="Q130" s="298">
        <f t="shared" si="61"/>
        <v>1.8503694288977532</v>
      </c>
      <c r="R130" s="298">
        <f t="shared" si="61"/>
        <v>1.647192851904135</v>
      </c>
    </row>
    <row r="132" spans="1:16383" s="253" customFormat="1" x14ac:dyDescent="0.25">
      <c r="A132" s="249"/>
      <c r="B132" s="250"/>
      <c r="C132" s="251"/>
      <c r="D132" s="252"/>
      <c r="E132" s="49" t="str">
        <f xml:space="preserve"> InpR!E$97</f>
        <v>Run-off rate - CPI(H) + RPI wedge - active - BR</v>
      </c>
      <c r="F132" s="253">
        <f xml:space="preserve"> InpR!F$97</f>
        <v>0</v>
      </c>
      <c r="G132" s="271" t="str">
        <f xml:space="preserve"> InpR!G$97</f>
        <v>%</v>
      </c>
      <c r="H132" s="253" t="str">
        <f xml:space="preserve"> InpR!I$97</f>
        <v>PR19 Financial model, 'F_OutputsMaster' sheet row 962, PR19FM2099POST</v>
      </c>
      <c r="I132" s="253" t="e">
        <f xml:space="preserve"> InpR!#REF!</f>
        <v>#REF!</v>
      </c>
      <c r="J132" s="253">
        <f xml:space="preserve"> InpR!J$97</f>
        <v>0</v>
      </c>
      <c r="K132" s="253">
        <f xml:space="preserve"> InpR!K$97</f>
        <v>0</v>
      </c>
      <c r="L132" s="253">
        <f xml:space="preserve"> InpR!L$97</f>
        <v>0</v>
      </c>
      <c r="M132" s="253">
        <f xml:space="preserve"> InpR!M$97</f>
        <v>7.9899999999999999E-2</v>
      </c>
      <c r="N132" s="253">
        <f xml:space="preserve"> InpR!N$97</f>
        <v>7.9899999999999999E-2</v>
      </c>
      <c r="O132" s="253">
        <f xml:space="preserve"> InpR!O$97</f>
        <v>7.9899999999999999E-2</v>
      </c>
      <c r="P132" s="253">
        <f xml:space="preserve"> InpR!P$97</f>
        <v>7.9899999999999999E-2</v>
      </c>
      <c r="Q132" s="253">
        <f xml:space="preserve"> InpR!Q$97</f>
        <v>7.9899999999999999E-2</v>
      </c>
      <c r="R132" s="253">
        <f xml:space="preserve"> InpR!R$97</f>
        <v>0</v>
      </c>
    </row>
    <row r="133" spans="1:16383" s="199" customFormat="1" x14ac:dyDescent="0.25">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71.869584750680133</v>
      </c>
      <c r="N133" s="297">
        <f t="shared" si="62"/>
        <v>67.731324717813649</v>
      </c>
      <c r="O133" s="297">
        <f t="shared" si="62"/>
        <v>64.163482063424198</v>
      </c>
      <c r="P133" s="297">
        <f t="shared" si="62"/>
        <v>60.896697120315437</v>
      </c>
      <c r="Q133" s="297">
        <f t="shared" si="62"/>
        <v>57.82404465305514</v>
      </c>
      <c r="R133" s="297">
        <f t="shared" si="62"/>
        <v>54.906428396804856</v>
      </c>
    </row>
    <row r="134" spans="1:16383" s="125" customFormat="1" x14ac:dyDescent="0.25">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1.7434189639309403</v>
      </c>
      <c r="N134" s="298">
        <f t="shared" si="63"/>
        <v>2.0040106407606455</v>
      </c>
      <c r="O134" s="298">
        <f t="shared" si="63"/>
        <v>2.021386016475208</v>
      </c>
      <c r="P134" s="298">
        <f t="shared" si="63"/>
        <v>1.9486943078501362</v>
      </c>
      <c r="Q134" s="298">
        <f t="shared" si="63"/>
        <v>1.8503694288977532</v>
      </c>
      <c r="R134" s="298">
        <f t="shared" si="63"/>
        <v>1.647192851904135</v>
      </c>
      <c r="S134" s="126"/>
      <c r="T134" s="126"/>
      <c r="U134" s="126"/>
      <c r="V134" s="126"/>
      <c r="W134" s="126"/>
      <c r="X134" s="126"/>
      <c r="Y134" s="126"/>
      <c r="Z134" s="126"/>
    </row>
    <row r="135" spans="1:16383" x14ac:dyDescent="0.25">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5.8816789967974241</v>
      </c>
      <c r="N135" s="298">
        <f t="shared" si="64"/>
        <v>5.5718532951500856</v>
      </c>
      <c r="O135" s="298">
        <f t="shared" si="64"/>
        <v>5.2881709595839625</v>
      </c>
      <c r="P135" s="298">
        <f t="shared" si="64"/>
        <v>5.0213467751104286</v>
      </c>
      <c r="Q135" s="298">
        <f t="shared" si="64"/>
        <v>4.7679856851480356</v>
      </c>
      <c r="R135" s="298">
        <f t="shared" si="64"/>
        <v>0</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5">
      <c r="F136" s="304"/>
      <c r="G136" s="304"/>
      <c r="H136" s="304"/>
    </row>
    <row r="137" spans="1:16383" s="242" customFormat="1" x14ac:dyDescent="0.25">
      <c r="A137" s="238"/>
      <c r="B137" s="239"/>
      <c r="C137" s="240"/>
      <c r="D137" s="241"/>
      <c r="E137" s="242" t="str">
        <f>InpR!$E$90</f>
        <v>RCV - CPI(H) + RPI wedge initial balance - nominal - BR</v>
      </c>
      <c r="F137" s="302">
        <f>InpR!$F$90</f>
        <v>71.869584750680133</v>
      </c>
      <c r="G137" s="301" t="str">
        <f>InpR!$G$90</f>
        <v>£m</v>
      </c>
      <c r="H137" s="303"/>
    </row>
    <row r="138" spans="1:16383" s="49" customFormat="1" x14ac:dyDescent="0.25">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5">
      <c r="A139" s="67"/>
      <c r="B139" s="78"/>
      <c r="C139" s="142"/>
      <c r="D139" s="72"/>
      <c r="S139" s="59"/>
      <c r="T139" s="59"/>
      <c r="U139" s="59"/>
      <c r="V139" s="59"/>
      <c r="W139" s="59"/>
      <c r="X139" s="59"/>
      <c r="Y139" s="59"/>
      <c r="Z139" s="59"/>
    </row>
    <row r="140" spans="1:16383" s="59" customFormat="1" x14ac:dyDescent="0.25">
      <c r="A140" s="116"/>
      <c r="B140" s="337"/>
      <c r="C140" s="338"/>
      <c r="D140" s="339"/>
      <c r="E140" s="59" t="s">
        <v>163</v>
      </c>
      <c r="G140" s="201" t="s">
        <v>88</v>
      </c>
      <c r="J140" s="293">
        <f t="shared" ref="J140:R140" si="65" xml:space="preserve"> I143</f>
        <v>0</v>
      </c>
      <c r="K140" s="293">
        <f t="shared" si="65"/>
        <v>0</v>
      </c>
      <c r="L140" s="293">
        <f t="shared" si="65"/>
        <v>0</v>
      </c>
      <c r="M140" s="293">
        <f t="shared" si="65"/>
        <v>71.869584750680133</v>
      </c>
      <c r="N140" s="293">
        <f t="shared" si="65"/>
        <v>67.731324717813649</v>
      </c>
      <c r="O140" s="293">
        <f t="shared" si="65"/>
        <v>64.163482063424198</v>
      </c>
      <c r="P140" s="293">
        <f t="shared" si="65"/>
        <v>60.896697120315437</v>
      </c>
      <c r="Q140" s="293">
        <f t="shared" si="65"/>
        <v>57.82404465305514</v>
      </c>
      <c r="R140" s="293">
        <f t="shared" si="65"/>
        <v>54.906428396804856</v>
      </c>
    </row>
    <row r="141" spans="1:16383" s="59" customFormat="1" x14ac:dyDescent="0.25">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1.7434189639309403</v>
      </c>
      <c r="N141" s="293">
        <f t="shared" si="66"/>
        <v>2.0040106407606455</v>
      </c>
      <c r="O141" s="293">
        <f t="shared" si="66"/>
        <v>2.021386016475208</v>
      </c>
      <c r="P141" s="293">
        <f t="shared" si="66"/>
        <v>1.9486943078501362</v>
      </c>
      <c r="Q141" s="293">
        <f t="shared" si="66"/>
        <v>1.8503694288977532</v>
      </c>
      <c r="R141" s="293">
        <f t="shared" si="66"/>
        <v>1.647192851904135</v>
      </c>
    </row>
    <row r="142" spans="1:16383" s="59" customFormat="1" x14ac:dyDescent="0.25">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5.8816789967974241</v>
      </c>
      <c r="N142" s="293">
        <f t="shared" si="67"/>
        <v>5.5718532951500856</v>
      </c>
      <c r="O142" s="293">
        <f t="shared" si="67"/>
        <v>5.2881709595839625</v>
      </c>
      <c r="P142" s="293">
        <f t="shared" si="67"/>
        <v>5.0213467751104286</v>
      </c>
      <c r="Q142" s="293">
        <f t="shared" si="67"/>
        <v>4.7679856851480356</v>
      </c>
      <c r="R142" s="293">
        <f t="shared" si="67"/>
        <v>0</v>
      </c>
    </row>
    <row r="143" spans="1:16383" s="173" customFormat="1" x14ac:dyDescent="0.25">
      <c r="A143" s="333"/>
      <c r="B143" s="334"/>
      <c r="C143" s="335"/>
      <c r="D143" s="336"/>
      <c r="E143" s="173" t="s">
        <v>164</v>
      </c>
      <c r="G143" s="202" t="s">
        <v>88</v>
      </c>
      <c r="J143" s="294">
        <f t="shared" ref="J143:R143" si="68" xml:space="preserve"> IF( J138 = 1, $F137, J140 + J141 - J142)</f>
        <v>0</v>
      </c>
      <c r="K143" s="294">
        <f t="shared" si="68"/>
        <v>0</v>
      </c>
      <c r="L143" s="294">
        <f t="shared" si="68"/>
        <v>71.869584750680133</v>
      </c>
      <c r="M143" s="294">
        <f t="shared" si="68"/>
        <v>67.731324717813649</v>
      </c>
      <c r="N143" s="294">
        <f t="shared" si="68"/>
        <v>64.163482063424198</v>
      </c>
      <c r="O143" s="294">
        <f t="shared" si="68"/>
        <v>60.896697120315437</v>
      </c>
      <c r="P143" s="294">
        <f t="shared" si="68"/>
        <v>57.82404465305514</v>
      </c>
      <c r="Q143" s="294">
        <f t="shared" si="68"/>
        <v>54.906428396804856</v>
      </c>
      <c r="R143" s="294">
        <f t="shared" si="68"/>
        <v>56.553621248708993</v>
      </c>
    </row>
    <row r="145" spans="1:26" s="126" customFormat="1" x14ac:dyDescent="0.25">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71.869584750680133</v>
      </c>
      <c r="N145" s="226">
        <f t="shared" si="69"/>
        <v>67.731324717813649</v>
      </c>
      <c r="O145" s="226">
        <f t="shared" si="69"/>
        <v>64.163482063424198</v>
      </c>
      <c r="P145" s="226">
        <f t="shared" si="69"/>
        <v>60.896697120315437</v>
      </c>
      <c r="Q145" s="226">
        <f t="shared" si="69"/>
        <v>57.82404465305514</v>
      </c>
      <c r="R145" s="226">
        <f t="shared" si="69"/>
        <v>54.906428396804856</v>
      </c>
    </row>
    <row r="146" spans="1:26" s="125" customFormat="1" x14ac:dyDescent="0.25">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1.7434189639309403</v>
      </c>
      <c r="N146" s="225">
        <f t="shared" si="70"/>
        <v>2.0040106407606455</v>
      </c>
      <c r="O146" s="225">
        <f t="shared" si="70"/>
        <v>2.021386016475208</v>
      </c>
      <c r="P146" s="225">
        <f t="shared" si="70"/>
        <v>1.9486943078501362</v>
      </c>
      <c r="Q146" s="225">
        <f t="shared" si="70"/>
        <v>1.8503694288977532</v>
      </c>
      <c r="R146" s="225">
        <f t="shared" si="70"/>
        <v>1.647192851904135</v>
      </c>
      <c r="S146" s="126"/>
      <c r="T146" s="126"/>
      <c r="U146" s="126"/>
      <c r="V146" s="126"/>
      <c r="W146" s="126"/>
      <c r="X146" s="126"/>
      <c r="Y146" s="126"/>
      <c r="Z146" s="126"/>
    </row>
    <row r="147" spans="1:26" s="126" customFormat="1" x14ac:dyDescent="0.25">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71.869584750680133</v>
      </c>
      <c r="M147" s="226">
        <f t="shared" si="71"/>
        <v>67.731324717813649</v>
      </c>
      <c r="N147" s="226">
        <f t="shared" si="71"/>
        <v>64.163482063424198</v>
      </c>
      <c r="O147" s="226">
        <f t="shared" si="71"/>
        <v>60.896697120315437</v>
      </c>
      <c r="P147" s="226">
        <f t="shared" si="71"/>
        <v>57.82404465305514</v>
      </c>
      <c r="Q147" s="226">
        <f t="shared" si="71"/>
        <v>54.906428396804856</v>
      </c>
      <c r="R147" s="226">
        <f t="shared" si="71"/>
        <v>56.553621248708993</v>
      </c>
    </row>
    <row r="148" spans="1:26" s="60" customFormat="1" x14ac:dyDescent="0.25">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35.934792375340066</v>
      </c>
      <c r="M148" s="226">
        <f xml:space="preserve"> ( (M145+M146) + M147) / 2</f>
        <v>70.672164216212366</v>
      </c>
      <c r="N148" s="226">
        <f t="shared" ref="N148:R148" si="73" xml:space="preserve"> ( (N145+N146) + N147) / 2</f>
        <v>66.949408710999251</v>
      </c>
      <c r="O148" s="226">
        <f t="shared" si="73"/>
        <v>63.54078260010742</v>
      </c>
      <c r="P148" s="226">
        <f t="shared" si="73"/>
        <v>60.334718040610355</v>
      </c>
      <c r="Q148" s="226">
        <f t="shared" si="73"/>
        <v>57.290421239378873</v>
      </c>
      <c r="R148" s="226">
        <f t="shared" si="73"/>
        <v>56.553621248708993</v>
      </c>
    </row>
    <row r="150" spans="1:26" s="253" customFormat="1" x14ac:dyDescent="0.25">
      <c r="A150" s="249"/>
      <c r="B150" s="250"/>
      <c r="C150" s="251"/>
      <c r="D150" s="252"/>
      <c r="E150" s="253" t="str">
        <f xml:space="preserve"> InpR!E$104</f>
        <v>WACC on RCV - CPI(H) + RPI wedge bf and additions - BR</v>
      </c>
      <c r="F150" s="253">
        <f xml:space="preserve"> InpR!F$104</f>
        <v>0</v>
      </c>
      <c r="G150" s="271" t="str">
        <f xml:space="preserve"> InpR!G$104</f>
        <v>%</v>
      </c>
      <c r="H150" s="253" t="str">
        <f xml:space="preserve"> InpR!I$104</f>
        <v>PR19 Financial model, 'Bio Resources' sheet row 980</v>
      </c>
      <c r="I150" s="253" t="e">
        <f xml:space="preserve"> InpR!#REF!</f>
        <v>#REF!</v>
      </c>
      <c r="J150" s="253">
        <f xml:space="preserve"> InpR!J$104</f>
        <v>0</v>
      </c>
      <c r="K150" s="253">
        <f xml:space="preserve"> InpR!K$104</f>
        <v>0</v>
      </c>
      <c r="L150" s="253">
        <f xml:space="preserve"> InpR!L$104</f>
        <v>0</v>
      </c>
      <c r="M150" s="253">
        <f xml:space="preserve"> InpR!M$104</f>
        <v>2.2181345335277269E-2</v>
      </c>
      <c r="N150" s="253">
        <f xml:space="preserve"> InpR!N$104</f>
        <v>2.2181345335277269E-2</v>
      </c>
      <c r="O150" s="253">
        <f xml:space="preserve"> InpR!O$104</f>
        <v>2.2181345335277269E-2</v>
      </c>
      <c r="P150" s="253">
        <f xml:space="preserve"> InpR!P$104</f>
        <v>2.2181345335277269E-2</v>
      </c>
      <c r="Q150" s="253">
        <f xml:space="preserve"> InpR!Q$104</f>
        <v>2.2181345335277269E-2</v>
      </c>
      <c r="R150" s="253">
        <f xml:space="preserve"> InpR!R$104</f>
        <v>0</v>
      </c>
    </row>
    <row r="151" spans="1:26" s="126" customFormat="1" x14ac:dyDescent="0.25">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5">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35.934792375340066</v>
      </c>
      <c r="M152" s="298">
        <f t="shared" si="74"/>
        <v>70.672164216212366</v>
      </c>
      <c r="N152" s="298">
        <f t="shared" si="74"/>
        <v>66.949408710999251</v>
      </c>
      <c r="O152" s="298">
        <f t="shared" si="74"/>
        <v>63.54078260010742</v>
      </c>
      <c r="P152" s="298">
        <f t="shared" si="74"/>
        <v>60.334718040610355</v>
      </c>
      <c r="Q152" s="298">
        <f t="shared" si="74"/>
        <v>57.290421239378873</v>
      </c>
      <c r="R152" s="298">
        <f t="shared" si="74"/>
        <v>56.553621248708993</v>
      </c>
    </row>
    <row r="153" spans="1:26" x14ac:dyDescent="0.25">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1.5676036800712314</v>
      </c>
      <c r="N153" s="298">
        <f t="shared" si="76"/>
        <v>1.4850279546112946</v>
      </c>
      <c r="O153" s="298">
        <f t="shared" si="76"/>
        <v>1.4094200417267597</v>
      </c>
      <c r="P153" s="298">
        <f t="shared" si="76"/>
        <v>1.3383052165653617</v>
      </c>
      <c r="Q153" s="298">
        <f t="shared" si="76"/>
        <v>1.2707786179141662</v>
      </c>
      <c r="R153" s="298">
        <f t="shared" si="76"/>
        <v>0</v>
      </c>
    </row>
    <row r="154" spans="1:26" x14ac:dyDescent="0.25">
      <c r="M154" s="228"/>
      <c r="N154" s="228"/>
      <c r="O154" s="228"/>
      <c r="P154" s="228"/>
      <c r="Q154" s="228"/>
    </row>
    <row r="155" spans="1:26" s="125" customFormat="1" x14ac:dyDescent="0.25">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5.8816789967974241</v>
      </c>
      <c r="N155" s="225">
        <f t="shared" si="77"/>
        <v>5.5718532951500856</v>
      </c>
      <c r="O155" s="225">
        <f t="shared" si="77"/>
        <v>5.2881709595839625</v>
      </c>
      <c r="P155" s="225">
        <f t="shared" si="77"/>
        <v>5.0213467751104286</v>
      </c>
      <c r="Q155" s="225">
        <f t="shared" si="77"/>
        <v>4.7679856851480356</v>
      </c>
      <c r="R155" s="225">
        <f t="shared" si="77"/>
        <v>0</v>
      </c>
      <c r="S155" s="126"/>
      <c r="T155" s="126"/>
      <c r="U155" s="126"/>
      <c r="V155" s="126"/>
      <c r="W155" s="126"/>
      <c r="X155" s="126"/>
      <c r="Y155" s="126"/>
      <c r="Z155" s="126"/>
    </row>
    <row r="156" spans="1:26" x14ac:dyDescent="0.25">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1.5676036800712314</v>
      </c>
      <c r="N156" s="225">
        <f t="shared" si="78"/>
        <v>1.4850279546112946</v>
      </c>
      <c r="O156" s="225">
        <f t="shared" si="78"/>
        <v>1.4094200417267597</v>
      </c>
      <c r="P156" s="225">
        <f t="shared" si="78"/>
        <v>1.3383052165653617</v>
      </c>
      <c r="Q156" s="225">
        <f t="shared" si="78"/>
        <v>1.2707786179141662</v>
      </c>
      <c r="R156" s="225">
        <f t="shared" si="78"/>
        <v>0</v>
      </c>
    </row>
    <row r="157" spans="1:26" x14ac:dyDescent="0.25">
      <c r="A157" s="89"/>
      <c r="B157" s="95"/>
      <c r="C157" s="332"/>
      <c r="D157" s="91"/>
      <c r="E157" s="56" t="s">
        <v>321</v>
      </c>
      <c r="F157" s="295"/>
      <c r="G157" s="225" t="str">
        <f t="shared" ref="G157" si="79">G$155</f>
        <v>£m</v>
      </c>
      <c r="H157" s="295">
        <f>SUM(J157:R157)</f>
        <v>33.602171222678749</v>
      </c>
      <c r="I157" s="295"/>
      <c r="J157" s="295">
        <f t="shared" ref="J157:R157" si="80">SUM(J155:J156)</f>
        <v>0</v>
      </c>
      <c r="K157" s="295">
        <f t="shared" si="80"/>
        <v>0</v>
      </c>
      <c r="L157" s="295">
        <f>SUM(L155:L156)</f>
        <v>0</v>
      </c>
      <c r="M157" s="295">
        <f t="shared" si="80"/>
        <v>7.4492826768686555</v>
      </c>
      <c r="N157" s="295">
        <f t="shared" si="80"/>
        <v>7.0568812497613802</v>
      </c>
      <c r="O157" s="295">
        <f t="shared" si="80"/>
        <v>6.6975910013107223</v>
      </c>
      <c r="P157" s="295">
        <f t="shared" si="80"/>
        <v>6.3596519916757899</v>
      </c>
      <c r="Q157" s="295">
        <f t="shared" si="80"/>
        <v>6.0387643030622016</v>
      </c>
      <c r="R157" s="295">
        <f t="shared" si="80"/>
        <v>0</v>
      </c>
    </row>
    <row r="159" spans="1:26" x14ac:dyDescent="0.25">
      <c r="E159" s="60" t="str">
        <f t="shared" ref="E159:R159" si="81" xml:space="preserve"> E$157</f>
        <v>Total True up Nominal revenue to company</v>
      </c>
      <c r="F159" s="225">
        <f t="shared" si="81"/>
        <v>0</v>
      </c>
      <c r="G159" s="225" t="str">
        <f t="shared" si="81"/>
        <v>£m</v>
      </c>
      <c r="H159" s="225">
        <f t="shared" si="81"/>
        <v>33.602171222678749</v>
      </c>
      <c r="I159" s="225">
        <f t="shared" si="81"/>
        <v>0</v>
      </c>
      <c r="J159" s="225">
        <f t="shared" si="81"/>
        <v>0</v>
      </c>
      <c r="K159" s="225">
        <f t="shared" si="81"/>
        <v>0</v>
      </c>
      <c r="L159" s="225">
        <f t="shared" si="81"/>
        <v>0</v>
      </c>
      <c r="M159" s="225">
        <f t="shared" si="81"/>
        <v>7.4492826768686555</v>
      </c>
      <c r="N159" s="225">
        <f t="shared" si="81"/>
        <v>7.0568812497613802</v>
      </c>
      <c r="O159" s="225">
        <f t="shared" si="81"/>
        <v>6.6975910013107223</v>
      </c>
      <c r="P159" s="225">
        <f t="shared" si="81"/>
        <v>6.3596519916757899</v>
      </c>
      <c r="Q159" s="225">
        <f t="shared" si="81"/>
        <v>6.0387643030622016</v>
      </c>
      <c r="R159" s="225">
        <f t="shared" si="81"/>
        <v>0</v>
      </c>
    </row>
    <row r="160" spans="1:26" x14ac:dyDescent="0.25">
      <c r="E160" s="60" t="str">
        <f t="shared" ref="E160:R160" si="82" xml:space="preserve"> E$108</f>
        <v>Total nominal revenue company should have received</v>
      </c>
      <c r="F160" s="225">
        <f t="shared" si="82"/>
        <v>0</v>
      </c>
      <c r="G160" s="225" t="str">
        <f t="shared" si="82"/>
        <v>£m</v>
      </c>
      <c r="H160" s="225">
        <f t="shared" si="82"/>
        <v>34.315083357428861</v>
      </c>
      <c r="I160" s="225">
        <f t="shared" si="82"/>
        <v>0</v>
      </c>
      <c r="J160" s="225">
        <f t="shared" si="82"/>
        <v>0</v>
      </c>
      <c r="K160" s="225">
        <f t="shared" si="82"/>
        <v>0</v>
      </c>
      <c r="L160" s="225">
        <f t="shared" si="82"/>
        <v>0</v>
      </c>
      <c r="M160" s="225">
        <f t="shared" si="82"/>
        <v>7.4220188286862667</v>
      </c>
      <c r="N160" s="225">
        <f t="shared" si="82"/>
        <v>7.1094449206652559</v>
      </c>
      <c r="O160" s="225">
        <f t="shared" si="82"/>
        <v>6.9453276125558272</v>
      </c>
      <c r="P160" s="225">
        <f t="shared" si="82"/>
        <v>6.5884828383253726</v>
      </c>
      <c r="Q160" s="225">
        <f t="shared" si="82"/>
        <v>6.2498091571961343</v>
      </c>
      <c r="R160" s="225">
        <f t="shared" si="82"/>
        <v>0</v>
      </c>
    </row>
    <row r="161" spans="1:16383" s="226" customFormat="1" x14ac:dyDescent="0.25">
      <c r="A161" s="306"/>
      <c r="B161" s="222"/>
      <c r="C161" s="223"/>
      <c r="D161" s="307"/>
      <c r="E161" s="60" t="s">
        <v>268</v>
      </c>
      <c r="G161" s="226" t="str">
        <f t="shared" ref="G161" si="83" xml:space="preserve"> G$153</f>
        <v>£m</v>
      </c>
      <c r="H161" s="226">
        <f xml:space="preserve"> SUM(J161:R161)</f>
        <v>0.71291213475010728</v>
      </c>
      <c r="J161" s="226">
        <f t="shared" ref="J161:K161" si="84">J160-J159</f>
        <v>0</v>
      </c>
      <c r="K161" s="226">
        <f t="shared" si="84"/>
        <v>0</v>
      </c>
      <c r="L161" s="226">
        <f>L160-L159</f>
        <v>0</v>
      </c>
      <c r="M161" s="226">
        <f>M160-M159</f>
        <v>-2.7263848182388806E-2</v>
      </c>
      <c r="N161" s="226">
        <f t="shared" ref="N161:R161" si="85">N160-N159</f>
        <v>5.2563670903875703E-2</v>
      </c>
      <c r="O161" s="226">
        <f t="shared" si="85"/>
        <v>0.24773661124510493</v>
      </c>
      <c r="P161" s="226">
        <f t="shared" si="85"/>
        <v>0.22883084664958275</v>
      </c>
      <c r="Q161" s="226">
        <f t="shared" si="85"/>
        <v>0.2110448541339327</v>
      </c>
      <c r="R161" s="226">
        <f t="shared" si="85"/>
        <v>0</v>
      </c>
    </row>
    <row r="163" spans="1:16383" s="125" customFormat="1" x14ac:dyDescent="0.25">
      <c r="A163" s="210"/>
      <c r="B163" s="204"/>
      <c r="C163" s="205"/>
      <c r="D163" s="211"/>
      <c r="E163" s="60" t="str">
        <f t="shared" ref="E163:R163" si="86" xml:space="preserve"> E$161</f>
        <v>Value of True up nominal</v>
      </c>
      <c r="F163" s="300">
        <f t="shared" si="86"/>
        <v>0</v>
      </c>
      <c r="G163" s="300" t="str">
        <f t="shared" si="86"/>
        <v>£m</v>
      </c>
      <c r="H163" s="300">
        <f t="shared" si="86"/>
        <v>0.71291213475010728</v>
      </c>
      <c r="I163" s="300">
        <f t="shared" si="86"/>
        <v>0</v>
      </c>
      <c r="J163" s="300">
        <f t="shared" si="86"/>
        <v>0</v>
      </c>
      <c r="K163" s="300">
        <f t="shared" si="86"/>
        <v>0</v>
      </c>
      <c r="L163" s="300">
        <f t="shared" si="86"/>
        <v>0</v>
      </c>
      <c r="M163" s="300">
        <f t="shared" si="86"/>
        <v>-2.7263848182388806E-2</v>
      </c>
      <c r="N163" s="300">
        <f t="shared" si="86"/>
        <v>5.2563670903875703E-2</v>
      </c>
      <c r="O163" s="300">
        <f t="shared" si="86"/>
        <v>0.24773661124510493</v>
      </c>
      <c r="P163" s="300">
        <f t="shared" si="86"/>
        <v>0.22883084664958275</v>
      </c>
      <c r="Q163" s="300">
        <f t="shared" si="86"/>
        <v>0.2110448541339327</v>
      </c>
      <c r="R163" s="300">
        <f t="shared" si="86"/>
        <v>0</v>
      </c>
      <c r="S163" s="126"/>
      <c r="T163" s="126"/>
      <c r="U163" s="126"/>
      <c r="V163" s="126"/>
      <c r="W163" s="126"/>
      <c r="X163" s="126"/>
      <c r="Y163" s="126"/>
      <c r="Z163" s="126"/>
    </row>
    <row r="164" spans="1:16383" s="125" customFormat="1" x14ac:dyDescent="0.25">
      <c r="A164" s="210"/>
      <c r="B164" s="204"/>
      <c r="C164" s="205"/>
      <c r="D164" s="211"/>
      <c r="E164" s="60" t="str">
        <f t="shared" ref="E164:R164" si="87" xml:space="preserve"> E$116</f>
        <v>Difference in nominal revenue</v>
      </c>
      <c r="F164" s="300">
        <f t="shared" si="87"/>
        <v>0</v>
      </c>
      <c r="G164" s="300" t="str">
        <f t="shared" si="87"/>
        <v>£m</v>
      </c>
      <c r="H164" s="300">
        <f t="shared" si="87"/>
        <v>0.71291213475010728</v>
      </c>
      <c r="I164" s="300">
        <f t="shared" si="87"/>
        <v>0</v>
      </c>
      <c r="J164" s="300">
        <f t="shared" si="87"/>
        <v>0</v>
      </c>
      <c r="K164" s="300">
        <f t="shared" si="87"/>
        <v>0</v>
      </c>
      <c r="L164" s="300">
        <f t="shared" si="87"/>
        <v>0</v>
      </c>
      <c r="M164" s="300">
        <f t="shared" si="87"/>
        <v>-2.7263848182388806E-2</v>
      </c>
      <c r="N164" s="300">
        <f t="shared" si="87"/>
        <v>5.2563670903875703E-2</v>
      </c>
      <c r="O164" s="300">
        <f t="shared" si="87"/>
        <v>0.24773661124510493</v>
      </c>
      <c r="P164" s="300">
        <f t="shared" si="87"/>
        <v>0.22883084664958275</v>
      </c>
      <c r="Q164" s="300">
        <f t="shared" si="87"/>
        <v>0.2110448541339327</v>
      </c>
      <c r="R164" s="300">
        <f t="shared" si="87"/>
        <v>0</v>
      </c>
      <c r="S164" s="126"/>
      <c r="T164" s="126"/>
      <c r="U164" s="126"/>
      <c r="V164" s="126"/>
      <c r="W164" s="126"/>
      <c r="X164" s="126"/>
      <c r="Y164" s="126"/>
      <c r="Z164" s="126"/>
    </row>
    <row r="165" spans="1:16383" s="259" customFormat="1" x14ac:dyDescent="0.25">
      <c r="A165" s="272"/>
      <c r="B165" s="256"/>
      <c r="C165" s="257"/>
      <c r="D165" s="258"/>
      <c r="E165" s="60" t="s">
        <v>165</v>
      </c>
      <c r="F165" s="273">
        <f>SUM(J165:R165)</f>
        <v>0</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5">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25">
      <c r="A167" s="69" t="s">
        <v>278</v>
      </c>
      <c r="B167" s="69"/>
    </row>
    <row r="169" spans="1:16383" x14ac:dyDescent="0.25">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35.934792375340066</v>
      </c>
      <c r="M169" s="226">
        <f t="shared" si="90"/>
        <v>70.672164216212366</v>
      </c>
      <c r="N169" s="225">
        <f t="shared" si="90"/>
        <v>66.949408710999251</v>
      </c>
      <c r="O169" s="225">
        <f t="shared" si="90"/>
        <v>63.54078260010742</v>
      </c>
      <c r="P169" s="225">
        <f t="shared" si="90"/>
        <v>60.334718040610355</v>
      </c>
      <c r="Q169" s="225">
        <f t="shared" si="90"/>
        <v>57.290421239378873</v>
      </c>
      <c r="R169" s="225">
        <f t="shared" si="90"/>
        <v>56.553621248708993</v>
      </c>
    </row>
    <row r="170" spans="1:16383" x14ac:dyDescent="0.25">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35.934792375340066</v>
      </c>
      <c r="M170" s="226">
        <f t="shared" si="91"/>
        <v>70.413509089337566</v>
      </c>
      <c r="N170" s="225">
        <f t="shared" si="91"/>
        <v>67.448086039147995</v>
      </c>
      <c r="O170" s="225">
        <f t="shared" si="91"/>
        <v>65.891087083336089</v>
      </c>
      <c r="P170" s="225">
        <f t="shared" si="91"/>
        <v>62.505661455386523</v>
      </c>
      <c r="Q170" s="225">
        <f t="shared" si="91"/>
        <v>59.292626986605185</v>
      </c>
      <c r="R170" s="225">
        <f t="shared" si="91"/>
        <v>58.530077051285488</v>
      </c>
    </row>
    <row r="171" spans="1:16383" s="236" customFormat="1" x14ac:dyDescent="0.25">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5">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34.499511935053498</v>
      </c>
      <c r="M172" s="225">
        <f t="shared" si="92"/>
        <v>66.529899688639802</v>
      </c>
      <c r="N172" s="225">
        <f t="shared" si="92"/>
        <v>61.787009582639321</v>
      </c>
      <c r="O172" s="225">
        <f t="shared" si="92"/>
        <v>57.449078790631326</v>
      </c>
      <c r="P172" s="225">
        <f t="shared" si="92"/>
        <v>53.428386005786685</v>
      </c>
      <c r="Q172" s="225">
        <f t="shared" si="92"/>
        <v>49.689089734348507</v>
      </c>
      <c r="R172" s="225">
        <f t="shared" si="92"/>
        <v>48.088283196556681</v>
      </c>
      <c r="S172" s="126"/>
      <c r="T172" s="126"/>
      <c r="U172" s="126"/>
      <c r="V172" s="126"/>
      <c r="W172" s="126"/>
      <c r="X172" s="126"/>
      <c r="Y172" s="126"/>
      <c r="Z172" s="126"/>
    </row>
    <row r="173" spans="1:16383" s="125" customFormat="1" x14ac:dyDescent="0.25">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34.499511935053498</v>
      </c>
      <c r="M173" s="225">
        <f t="shared" si="92"/>
        <v>66.286404957216462</v>
      </c>
      <c r="N173" s="225">
        <f t="shared" si="92"/>
        <v>62.24723442175592</v>
      </c>
      <c r="O173" s="225">
        <f t="shared" si="92"/>
        <v>59.574057771276578</v>
      </c>
      <c r="P173" s="225">
        <f t="shared" si="92"/>
        <v>55.350828117529225</v>
      </c>
      <c r="Q173" s="225">
        <f t="shared" si="92"/>
        <v>51.425641480492295</v>
      </c>
      <c r="R173" s="225">
        <f t="shared" si="92"/>
        <v>49.768889394023581</v>
      </c>
      <c r="S173" s="126"/>
      <c r="T173" s="126"/>
      <c r="U173" s="126"/>
      <c r="V173" s="126"/>
      <c r="W173" s="126"/>
      <c r="X173" s="126"/>
      <c r="Y173" s="126"/>
      <c r="Z173" s="126"/>
    </row>
    <row r="174" spans="1:16383" s="125" customFormat="1" x14ac:dyDescent="0.25">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-0.24349473142333977</v>
      </c>
      <c r="N174" s="226">
        <f t="shared" si="93"/>
        <v>0.46022483911659862</v>
      </c>
      <c r="O174" s="226">
        <f t="shared" si="93"/>
        <v>2.1249789806452526</v>
      </c>
      <c r="P174" s="226">
        <f t="shared" si="93"/>
        <v>1.9224421117425408</v>
      </c>
      <c r="Q174" s="226">
        <f t="shared" si="93"/>
        <v>1.7365517461437889</v>
      </c>
      <c r="R174" s="226">
        <f t="shared" si="93"/>
        <v>1.6806061974669007</v>
      </c>
      <c r="S174" s="126"/>
      <c r="T174" s="126"/>
      <c r="U174" s="126"/>
      <c r="V174" s="126"/>
      <c r="W174" s="126"/>
      <c r="X174" s="126"/>
      <c r="Y174" s="126"/>
      <c r="Z174" s="126"/>
    </row>
    <row r="175" spans="1:16383" s="125" customFormat="1" x14ac:dyDescent="0.25">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5">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-0.24349473142333977</v>
      </c>
      <c r="N176" s="226">
        <f t="shared" si="94"/>
        <v>0.46022483911659862</v>
      </c>
      <c r="O176" s="226">
        <f t="shared" si="94"/>
        <v>2.1249789806452526</v>
      </c>
      <c r="P176" s="226">
        <f t="shared" si="94"/>
        <v>1.9224421117425408</v>
      </c>
      <c r="Q176" s="226">
        <f t="shared" si="94"/>
        <v>1.7365517461437889</v>
      </c>
      <c r="R176" s="226">
        <f t="shared" si="94"/>
        <v>1.6806061974669007</v>
      </c>
      <c r="S176" s="126"/>
      <c r="T176" s="126"/>
      <c r="U176" s="126"/>
      <c r="V176" s="126"/>
      <c r="W176" s="126"/>
      <c r="X176" s="126"/>
      <c r="Y176" s="126"/>
      <c r="Z176" s="126"/>
    </row>
    <row r="177" spans="1:26" s="126" customFormat="1" x14ac:dyDescent="0.25">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5">
      <c r="A178" s="326"/>
      <c r="B178" s="327"/>
      <c r="C178" s="328"/>
      <c r="D178" s="329"/>
      <c r="E178" s="44" t="s">
        <v>362</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1.7365517461437889</v>
      </c>
      <c r="R178" s="325">
        <f t="shared" si="95"/>
        <v>0</v>
      </c>
      <c r="S178" s="129"/>
      <c r="T178" s="129"/>
      <c r="U178" s="129"/>
      <c r="V178" s="129"/>
      <c r="W178" s="129"/>
      <c r="X178" s="129"/>
      <c r="Y178" s="129"/>
      <c r="Z178" s="129"/>
    </row>
    <row r="179" spans="1:26" x14ac:dyDescent="0.25">
      <c r="H179" s="225"/>
      <c r="J179" s="225"/>
      <c r="K179" s="225"/>
      <c r="L179" s="225"/>
      <c r="M179" s="226"/>
      <c r="N179" s="225"/>
      <c r="O179" s="225"/>
      <c r="P179" s="225"/>
      <c r="Q179" s="225"/>
      <c r="R179" s="225"/>
    </row>
    <row r="180" spans="1:26" x14ac:dyDescent="0.25">
      <c r="A180" s="69" t="s">
        <v>279</v>
      </c>
      <c r="B180" s="69"/>
    </row>
    <row r="182" spans="1:26" s="125" customFormat="1" x14ac:dyDescent="0.25">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5.8816789967974241</v>
      </c>
      <c r="N182" s="225">
        <f t="shared" si="96"/>
        <v>5.5718532951500856</v>
      </c>
      <c r="O182" s="225">
        <f t="shared" si="96"/>
        <v>5.2881709595839625</v>
      </c>
      <c r="P182" s="225">
        <f t="shared" si="96"/>
        <v>5.0213467751104286</v>
      </c>
      <c r="Q182" s="225">
        <f t="shared" si="96"/>
        <v>4.7679856851480356</v>
      </c>
      <c r="R182" s="225">
        <f t="shared" si="96"/>
        <v>0</v>
      </c>
      <c r="S182" s="126"/>
      <c r="T182" s="126"/>
      <c r="U182" s="126"/>
      <c r="V182" s="126"/>
      <c r="W182" s="126"/>
      <c r="X182" s="126"/>
      <c r="Y182" s="126"/>
      <c r="Z182" s="126"/>
    </row>
    <row r="183" spans="1:26" s="125" customFormat="1" x14ac:dyDescent="0.25">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1.5676036800712314</v>
      </c>
      <c r="N183" s="225">
        <f t="shared" si="97"/>
        <v>1.4850279546112946</v>
      </c>
      <c r="O183" s="225">
        <f t="shared" si="97"/>
        <v>1.4094200417267597</v>
      </c>
      <c r="P183" s="225">
        <f t="shared" si="97"/>
        <v>1.3383052165653617</v>
      </c>
      <c r="Q183" s="225">
        <f t="shared" si="97"/>
        <v>1.2707786179141662</v>
      </c>
      <c r="R183" s="225">
        <f t="shared" si="97"/>
        <v>0</v>
      </c>
      <c r="S183" s="126"/>
      <c r="T183" s="126"/>
      <c r="U183" s="126"/>
      <c r="V183" s="126"/>
      <c r="W183" s="126"/>
      <c r="X183" s="126"/>
      <c r="Y183" s="126"/>
      <c r="Z183" s="126"/>
    </row>
    <row r="184" spans="1:26" s="125" customFormat="1" x14ac:dyDescent="0.25">
      <c r="A184" s="210"/>
      <c r="B184" s="204"/>
      <c r="C184" s="205"/>
      <c r="D184" s="211"/>
      <c r="E184" s="60" t="str">
        <f>E$157</f>
        <v>Total True up Nominal revenue to company</v>
      </c>
      <c r="F184" s="225">
        <f t="shared" ref="F184:R184" si="98">F$157</f>
        <v>0</v>
      </c>
      <c r="G184" s="225" t="str">
        <f t="shared" si="98"/>
        <v>£m</v>
      </c>
      <c r="H184" s="225">
        <f t="shared" si="98"/>
        <v>33.602171222678749</v>
      </c>
      <c r="I184" s="225">
        <f t="shared" si="98"/>
        <v>0</v>
      </c>
      <c r="J184" s="225">
        <f t="shared" si="98"/>
        <v>0</v>
      </c>
      <c r="K184" s="225">
        <f t="shared" si="98"/>
        <v>0</v>
      </c>
      <c r="L184" s="225">
        <f t="shared" si="98"/>
        <v>0</v>
      </c>
      <c r="M184" s="225">
        <f t="shared" si="98"/>
        <v>7.4492826768686555</v>
      </c>
      <c r="N184" s="225">
        <f t="shared" si="98"/>
        <v>7.0568812497613802</v>
      </c>
      <c r="O184" s="225">
        <f t="shared" si="98"/>
        <v>6.6975910013107223</v>
      </c>
      <c r="P184" s="225">
        <f t="shared" si="98"/>
        <v>6.3596519916757899</v>
      </c>
      <c r="Q184" s="225">
        <f t="shared" si="98"/>
        <v>6.0387643030622016</v>
      </c>
      <c r="R184" s="225">
        <f t="shared" si="98"/>
        <v>0</v>
      </c>
      <c r="S184" s="126"/>
      <c r="T184" s="126"/>
      <c r="U184" s="126"/>
      <c r="V184" s="126"/>
      <c r="W184" s="126"/>
      <c r="X184" s="126"/>
      <c r="Y184" s="126"/>
      <c r="Z184" s="126"/>
    </row>
    <row r="185" spans="1:26" s="125" customFormat="1" x14ac:dyDescent="0.25">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5.8601524673069854</v>
      </c>
      <c r="N185" s="225">
        <f t="shared" si="99"/>
        <v>5.6133556320274209</v>
      </c>
      <c r="O185" s="225">
        <f t="shared" si="99"/>
        <v>5.4837746554435221</v>
      </c>
      <c r="P185" s="225">
        <f t="shared" si="99"/>
        <v>5.2020231761735145</v>
      </c>
      <c r="Q185" s="225">
        <f t="shared" si="99"/>
        <v>4.9346189221704639</v>
      </c>
      <c r="R185" s="225">
        <f t="shared" si="99"/>
        <v>0</v>
      </c>
      <c r="S185" s="126"/>
      <c r="T185" s="126"/>
      <c r="U185" s="126"/>
      <c r="V185" s="126"/>
      <c r="W185" s="126"/>
      <c r="X185" s="126"/>
      <c r="Y185" s="126"/>
      <c r="Z185" s="126"/>
    </row>
    <row r="186" spans="1:26" s="125" customFormat="1" x14ac:dyDescent="0.25">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1.5618663613792814</v>
      </c>
      <c r="N186" s="225">
        <f t="shared" si="100"/>
        <v>1.4960892886378352</v>
      </c>
      <c r="O186" s="225">
        <f t="shared" si="100"/>
        <v>1.4615529571123054</v>
      </c>
      <c r="P186" s="225">
        <f t="shared" si="100"/>
        <v>1.3864596621518581</v>
      </c>
      <c r="Q186" s="225">
        <f t="shared" si="100"/>
        <v>1.3151902350256701</v>
      </c>
      <c r="R186" s="225">
        <f t="shared" si="100"/>
        <v>0</v>
      </c>
      <c r="S186" s="126"/>
      <c r="T186" s="126"/>
      <c r="U186" s="126"/>
      <c r="V186" s="126"/>
      <c r="W186" s="126"/>
      <c r="X186" s="126"/>
      <c r="Y186" s="126"/>
      <c r="Z186" s="126"/>
    </row>
    <row r="187" spans="1:26" s="125" customFormat="1" x14ac:dyDescent="0.25">
      <c r="A187" s="210"/>
      <c r="B187" s="204"/>
      <c r="C187" s="205"/>
      <c r="D187" s="211"/>
      <c r="E187" s="60" t="str">
        <f>E$108</f>
        <v>Total nominal revenue company should have received</v>
      </c>
      <c r="F187" s="225">
        <f t="shared" ref="F187:R187" si="101">F$108</f>
        <v>0</v>
      </c>
      <c r="G187" s="225" t="str">
        <f t="shared" si="101"/>
        <v>£m</v>
      </c>
      <c r="H187" s="225">
        <f t="shared" si="101"/>
        <v>34.315083357428861</v>
      </c>
      <c r="I187" s="225">
        <f t="shared" si="101"/>
        <v>0</v>
      </c>
      <c r="J187" s="225">
        <f t="shared" si="101"/>
        <v>0</v>
      </c>
      <c r="K187" s="225">
        <f t="shared" si="101"/>
        <v>0</v>
      </c>
      <c r="L187" s="225">
        <f t="shared" si="101"/>
        <v>0</v>
      </c>
      <c r="M187" s="225">
        <f t="shared" si="101"/>
        <v>7.4220188286862667</v>
      </c>
      <c r="N187" s="225">
        <f t="shared" si="101"/>
        <v>7.1094449206652559</v>
      </c>
      <c r="O187" s="225">
        <f t="shared" si="101"/>
        <v>6.9453276125558272</v>
      </c>
      <c r="P187" s="225">
        <f t="shared" si="101"/>
        <v>6.5884828383253726</v>
      </c>
      <c r="Q187" s="225">
        <f t="shared" si="101"/>
        <v>6.2498091571961343</v>
      </c>
      <c r="R187" s="225">
        <f t="shared" si="101"/>
        <v>0</v>
      </c>
      <c r="S187" s="126"/>
      <c r="T187" s="126"/>
      <c r="U187" s="126"/>
      <c r="V187" s="126"/>
      <c r="W187" s="126"/>
      <c r="X187" s="126"/>
      <c r="Y187" s="126"/>
      <c r="Z187" s="126"/>
    </row>
    <row r="188" spans="1:26" s="253" customFormat="1" x14ac:dyDescent="0.25">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5">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24.042277754058063</v>
      </c>
      <c r="I189" s="225"/>
      <c r="J189" s="225">
        <f t="shared" ref="J189:R194" si="105" xml:space="preserve"> IF(J$188 = 0, 0, J182 / J$188)</f>
        <v>0</v>
      </c>
      <c r="K189" s="225">
        <f t="shared" si="105"/>
        <v>0</v>
      </c>
      <c r="L189" s="225">
        <f t="shared" si="105"/>
        <v>0</v>
      </c>
      <c r="M189" s="226">
        <f t="shared" si="105"/>
        <v>5.5369397272249561</v>
      </c>
      <c r="N189" s="225">
        <f t="shared" si="105"/>
        <v>5.1422134947688987</v>
      </c>
      <c r="O189" s="225">
        <f t="shared" si="105"/>
        <v>4.7811899332028993</v>
      </c>
      <c r="P189" s="225">
        <f t="shared" si="105"/>
        <v>4.4465684514997719</v>
      </c>
      <c r="Q189" s="225">
        <f t="shared" si="105"/>
        <v>4.1353661473615393</v>
      </c>
      <c r="R189" s="225">
        <f t="shared" si="105"/>
        <v>0</v>
      </c>
      <c r="S189" s="126"/>
      <c r="T189" s="126"/>
      <c r="U189" s="126"/>
      <c r="V189" s="126"/>
      <c r="W189" s="126"/>
      <c r="X189" s="126"/>
      <c r="Y189" s="126"/>
      <c r="Z189" s="126"/>
    </row>
    <row r="190" spans="1:26" s="125" customFormat="1" x14ac:dyDescent="0.25">
      <c r="A190" s="210"/>
      <c r="B190" s="204"/>
      <c r="C190" s="205"/>
      <c r="D190" s="211"/>
      <c r="E190" s="60" t="str">
        <f t="shared" si="102"/>
        <v>True up Nominal return- real</v>
      </c>
      <c r="F190" s="225"/>
      <c r="G190" s="225" t="str">
        <f t="shared" si="103"/>
        <v>£m</v>
      </c>
      <c r="H190" s="295">
        <f t="shared" si="104"/>
        <v>6.4078238722442444</v>
      </c>
      <c r="I190" s="225"/>
      <c r="J190" s="225">
        <f t="shared" si="105"/>
        <v>0</v>
      </c>
      <c r="K190" s="225">
        <f t="shared" si="105"/>
        <v>0</v>
      </c>
      <c r="L190" s="225">
        <f t="shared" si="105"/>
        <v>0</v>
      </c>
      <c r="M190" s="226">
        <f t="shared" si="105"/>
        <v>1.4757226801150751</v>
      </c>
      <c r="N190" s="225">
        <f xml:space="preserve"> IF(N$188 = 0, 0, N183 / N$188)</f>
        <v>1.3705189967866085</v>
      </c>
      <c r="O190" s="225">
        <f t="shared" si="105"/>
        <v>1.2742978558485465</v>
      </c>
      <c r="P190" s="225">
        <f t="shared" si="105"/>
        <v>1.1851134807008497</v>
      </c>
      <c r="Q190" s="225">
        <f t="shared" si="105"/>
        <v>1.1021708587931649</v>
      </c>
      <c r="R190" s="225">
        <f t="shared" si="105"/>
        <v>0</v>
      </c>
      <c r="S190" s="126"/>
      <c r="T190" s="126"/>
      <c r="U190" s="126"/>
      <c r="V190" s="126"/>
      <c r="W190" s="126"/>
      <c r="X190" s="126"/>
      <c r="Y190" s="126"/>
      <c r="Z190" s="126"/>
    </row>
    <row r="191" spans="1:26" s="125" customFormat="1" x14ac:dyDescent="0.25">
      <c r="A191" s="210"/>
      <c r="B191" s="204"/>
      <c r="C191" s="205"/>
      <c r="D191" s="211"/>
      <c r="E191" s="60" t="str">
        <f t="shared" si="102"/>
        <v>Total True up Nominal revenue to company- real</v>
      </c>
      <c r="F191" s="225"/>
      <c r="G191" s="225" t="str">
        <f t="shared" si="103"/>
        <v>£m</v>
      </c>
      <c r="H191" s="295">
        <f t="shared" si="104"/>
        <v>30.450101626302306</v>
      </c>
      <c r="I191" s="225"/>
      <c r="J191" s="225">
        <f t="shared" si="105"/>
        <v>0</v>
      </c>
      <c r="K191" s="225">
        <f t="shared" si="105"/>
        <v>0</v>
      </c>
      <c r="L191" s="225">
        <f t="shared" si="105"/>
        <v>0</v>
      </c>
      <c r="M191" s="226">
        <f t="shared" si="105"/>
        <v>7.0126624073400317</v>
      </c>
      <c r="N191" s="225">
        <f t="shared" si="105"/>
        <v>6.5127324915555072</v>
      </c>
      <c r="O191" s="225">
        <f t="shared" si="105"/>
        <v>6.0554877890514458</v>
      </c>
      <c r="P191" s="225">
        <f t="shared" si="105"/>
        <v>5.6316819322006211</v>
      </c>
      <c r="Q191" s="225">
        <f t="shared" si="105"/>
        <v>5.237537006154704</v>
      </c>
      <c r="R191" s="225">
        <f t="shared" si="105"/>
        <v>0</v>
      </c>
      <c r="S191" s="126"/>
      <c r="T191" s="126"/>
      <c r="U191" s="126"/>
      <c r="V191" s="126"/>
      <c r="W191" s="126"/>
      <c r="X191" s="126"/>
      <c r="Y191" s="126"/>
      <c r="Z191" s="126"/>
    </row>
    <row r="192" spans="1:26" s="125" customFormat="1" x14ac:dyDescent="0.25">
      <c r="A192" s="210"/>
      <c r="B192" s="204"/>
      <c r="C192" s="205"/>
      <c r="D192" s="211"/>
      <c r="E192" s="60" t="str">
        <f t="shared" si="102"/>
        <v>RCV run-off company should have received- real</v>
      </c>
      <c r="F192" s="225"/>
      <c r="G192" s="225" t="str">
        <f t="shared" si="103"/>
        <v>£m</v>
      </c>
      <c r="H192" s="295">
        <f t="shared" si="104"/>
        <v>24.541685248879546</v>
      </c>
      <c r="I192" s="225"/>
      <c r="J192" s="225">
        <f t="shared" si="105"/>
        <v>0</v>
      </c>
      <c r="K192" s="225">
        <f t="shared" si="105"/>
        <v>0</v>
      </c>
      <c r="L192" s="225">
        <f t="shared" si="105"/>
        <v>0</v>
      </c>
      <c r="M192" s="226">
        <f t="shared" si="105"/>
        <v>5.5166749190996249</v>
      </c>
      <c r="N192" s="225">
        <f t="shared" si="105"/>
        <v>5.1805156297050141</v>
      </c>
      <c r="O192" s="225">
        <f t="shared" si="105"/>
        <v>4.9580409519556259</v>
      </c>
      <c r="P192" s="225">
        <f t="shared" si="105"/>
        <v>4.6065633733561633</v>
      </c>
      <c r="Q192" s="225">
        <f t="shared" si="105"/>
        <v>4.279890374763121</v>
      </c>
      <c r="R192" s="225">
        <f t="shared" si="105"/>
        <v>0</v>
      </c>
      <c r="S192" s="126"/>
      <c r="T192" s="126"/>
      <c r="U192" s="126"/>
      <c r="V192" s="126"/>
      <c r="W192" s="126"/>
      <c r="X192" s="126"/>
      <c r="Y192" s="126"/>
      <c r="Z192" s="126"/>
    </row>
    <row r="193" spans="1:26" s="125" customFormat="1" x14ac:dyDescent="0.25">
      <c r="A193" s="210"/>
      <c r="B193" s="204"/>
      <c r="C193" s="205"/>
      <c r="D193" s="211"/>
      <c r="E193" s="60" t="str">
        <f t="shared" si="102"/>
        <v>Nominal return company should have received- real</v>
      </c>
      <c r="F193" s="225"/>
      <c r="G193" s="225" t="str">
        <f t="shared" si="103"/>
        <v>£m</v>
      </c>
      <c r="H193" s="295">
        <f t="shared" si="104"/>
        <v>6.5409275365488737</v>
      </c>
      <c r="I193" s="225"/>
      <c r="J193" s="225">
        <f t="shared" si="105"/>
        <v>0</v>
      </c>
      <c r="K193" s="225">
        <f t="shared" si="105"/>
        <v>0</v>
      </c>
      <c r="L193" s="225">
        <f t="shared" si="105"/>
        <v>0</v>
      </c>
      <c r="M193" s="226">
        <f t="shared" si="105"/>
        <v>1.4703216393900533</v>
      </c>
      <c r="N193" s="225">
        <f t="shared" si="105"/>
        <v>1.3807274028749263</v>
      </c>
      <c r="O193" s="225">
        <f t="shared" si="105"/>
        <v>1.3214327484484443</v>
      </c>
      <c r="P193" s="225">
        <f t="shared" si="105"/>
        <v>1.2277558330684908</v>
      </c>
      <c r="Q193" s="225">
        <f t="shared" si="105"/>
        <v>1.1406899127669592</v>
      </c>
      <c r="R193" s="225">
        <f t="shared" si="105"/>
        <v>0</v>
      </c>
      <c r="S193" s="126"/>
      <c r="T193" s="126"/>
      <c r="U193" s="126"/>
      <c r="V193" s="126"/>
      <c r="W193" s="126"/>
      <c r="X193" s="126"/>
      <c r="Y193" s="126"/>
      <c r="Z193" s="126"/>
    </row>
    <row r="194" spans="1:26" s="125" customFormat="1" x14ac:dyDescent="0.25">
      <c r="A194" s="210"/>
      <c r="B194" s="204"/>
      <c r="C194" s="205"/>
      <c r="D194" s="211"/>
      <c r="E194" s="60" t="str">
        <f t="shared" si="102"/>
        <v>Total nominal revenue company should have received- real</v>
      </c>
      <c r="F194" s="225"/>
      <c r="G194" s="225" t="str">
        <f t="shared" si="103"/>
        <v>£m</v>
      </c>
      <c r="H194" s="295">
        <f t="shared" si="104"/>
        <v>31.082612785428424</v>
      </c>
      <c r="I194" s="225"/>
      <c r="J194" s="225">
        <f t="shared" si="105"/>
        <v>0</v>
      </c>
      <c r="K194" s="225">
        <f t="shared" si="105"/>
        <v>0</v>
      </c>
      <c r="L194" s="225">
        <f t="shared" si="105"/>
        <v>0</v>
      </c>
      <c r="M194" s="226">
        <f t="shared" si="105"/>
        <v>6.9869965584896789</v>
      </c>
      <c r="N194" s="225">
        <f t="shared" si="105"/>
        <v>6.5612430325799407</v>
      </c>
      <c r="O194" s="225">
        <f t="shared" si="105"/>
        <v>6.2794737004040702</v>
      </c>
      <c r="P194" s="225">
        <f t="shared" si="105"/>
        <v>5.8343192064246541</v>
      </c>
      <c r="Q194" s="225">
        <f t="shared" si="105"/>
        <v>5.4205802875300799</v>
      </c>
      <c r="R194" s="225">
        <f t="shared" si="105"/>
        <v>0</v>
      </c>
      <c r="S194" s="126"/>
      <c r="T194" s="126"/>
      <c r="U194" s="126"/>
      <c r="V194" s="126"/>
      <c r="W194" s="126"/>
      <c r="X194" s="126"/>
      <c r="Y194" s="126"/>
      <c r="Z194" s="126"/>
    </row>
    <row r="196" spans="1:26" x14ac:dyDescent="0.25">
      <c r="E196" s="56" t="str">
        <f>E$189</f>
        <v>True up Nominal RCV run-off- real</v>
      </c>
      <c r="F196" s="225">
        <f t="shared" ref="F196:R196" si="106">F$189</f>
        <v>0</v>
      </c>
      <c r="G196" s="56" t="str">
        <f t="shared" si="106"/>
        <v>£m</v>
      </c>
      <c r="H196" s="299">
        <f t="shared" si="106"/>
        <v>24.042277754058063</v>
      </c>
      <c r="I196" s="299">
        <f t="shared" si="106"/>
        <v>0</v>
      </c>
      <c r="J196" s="225">
        <f t="shared" si="106"/>
        <v>0</v>
      </c>
      <c r="K196" s="225">
        <f t="shared" si="106"/>
        <v>0</v>
      </c>
      <c r="L196" s="225">
        <f t="shared" si="106"/>
        <v>0</v>
      </c>
      <c r="M196" s="226">
        <f t="shared" si="106"/>
        <v>5.5369397272249561</v>
      </c>
      <c r="N196" s="225">
        <f t="shared" si="106"/>
        <v>5.1422134947688987</v>
      </c>
      <c r="O196" s="225">
        <f t="shared" si="106"/>
        <v>4.7811899332028993</v>
      </c>
      <c r="P196" s="225">
        <f t="shared" si="106"/>
        <v>4.4465684514997719</v>
      </c>
      <c r="Q196" s="225">
        <f t="shared" si="106"/>
        <v>4.1353661473615393</v>
      </c>
      <c r="R196" s="225">
        <f t="shared" si="106"/>
        <v>0</v>
      </c>
    </row>
    <row r="197" spans="1:26" x14ac:dyDescent="0.25">
      <c r="E197" s="56" t="str">
        <f>E$192</f>
        <v>RCV run-off company should have received- real</v>
      </c>
      <c r="F197" s="225">
        <f t="shared" ref="F197:R197" si="107">F$192</f>
        <v>0</v>
      </c>
      <c r="G197" s="56" t="str">
        <f t="shared" si="107"/>
        <v>£m</v>
      </c>
      <c r="H197" s="299">
        <f t="shared" si="107"/>
        <v>24.541685248879546</v>
      </c>
      <c r="I197" s="299">
        <f t="shared" si="107"/>
        <v>0</v>
      </c>
      <c r="J197" s="225">
        <f t="shared" si="107"/>
        <v>0</v>
      </c>
      <c r="K197" s="225">
        <f t="shared" si="107"/>
        <v>0</v>
      </c>
      <c r="L197" s="225">
        <f t="shared" si="107"/>
        <v>0</v>
      </c>
      <c r="M197" s="226">
        <f t="shared" si="107"/>
        <v>5.5166749190996249</v>
      </c>
      <c r="N197" s="225">
        <f t="shared" si="107"/>
        <v>5.1805156297050141</v>
      </c>
      <c r="O197" s="225">
        <f t="shared" si="107"/>
        <v>4.9580409519556259</v>
      </c>
      <c r="P197" s="225">
        <f t="shared" si="107"/>
        <v>4.6065633733561633</v>
      </c>
      <c r="Q197" s="225">
        <f t="shared" si="107"/>
        <v>4.279890374763121</v>
      </c>
      <c r="R197" s="225">
        <f t="shared" si="107"/>
        <v>0</v>
      </c>
    </row>
    <row r="198" spans="1:26" x14ac:dyDescent="0.25">
      <c r="A198" s="89"/>
      <c r="B198" s="95"/>
      <c r="C198" s="332"/>
      <c r="D198" s="91"/>
      <c r="E198" s="60" t="s">
        <v>269</v>
      </c>
      <c r="G198" s="56" t="s">
        <v>88</v>
      </c>
      <c r="H198" s="226">
        <f xml:space="preserve"> SUM(J198:R198)</f>
        <v>0.49940749482148394</v>
      </c>
      <c r="I198" s="226"/>
      <c r="J198" s="225">
        <f t="shared" ref="J198:K198" si="108">J197-J196</f>
        <v>0</v>
      </c>
      <c r="K198" s="225">
        <f t="shared" si="108"/>
        <v>0</v>
      </c>
      <c r="L198" s="225">
        <f>L197-L196</f>
        <v>0</v>
      </c>
      <c r="M198" s="226">
        <f>M197-M196</f>
        <v>-2.0264808125331157E-2</v>
      </c>
      <c r="N198" s="225">
        <f t="shared" ref="N198:R198" si="109">N197-N196</f>
        <v>3.8302134936115451E-2</v>
      </c>
      <c r="O198" s="225">
        <f t="shared" si="109"/>
        <v>0.17685101875272657</v>
      </c>
      <c r="P198" s="225">
        <f t="shared" si="109"/>
        <v>0.15999492185639141</v>
      </c>
      <c r="Q198" s="225">
        <f t="shared" si="109"/>
        <v>0.14452422740158166</v>
      </c>
      <c r="R198" s="225">
        <f t="shared" si="109"/>
        <v>0</v>
      </c>
    </row>
    <row r="200" spans="1:26" x14ac:dyDescent="0.25">
      <c r="E200" s="56" t="str">
        <f>E$190</f>
        <v>True up Nominal return- real</v>
      </c>
      <c r="F200" s="225">
        <f t="shared" ref="F200:R200" si="110">F$190</f>
        <v>0</v>
      </c>
      <c r="G200" s="56" t="str">
        <f t="shared" si="110"/>
        <v>£m</v>
      </c>
      <c r="H200" s="299">
        <f t="shared" si="110"/>
        <v>6.4078238722442444</v>
      </c>
      <c r="I200" s="299">
        <f t="shared" si="110"/>
        <v>0</v>
      </c>
      <c r="J200" s="225">
        <f t="shared" si="110"/>
        <v>0</v>
      </c>
      <c r="K200" s="225">
        <f t="shared" si="110"/>
        <v>0</v>
      </c>
      <c r="L200" s="225">
        <f t="shared" si="110"/>
        <v>0</v>
      </c>
      <c r="M200" s="226">
        <f t="shared" si="110"/>
        <v>1.4757226801150751</v>
      </c>
      <c r="N200" s="225">
        <f t="shared" si="110"/>
        <v>1.3705189967866085</v>
      </c>
      <c r="O200" s="225">
        <f t="shared" si="110"/>
        <v>1.2742978558485465</v>
      </c>
      <c r="P200" s="225">
        <f t="shared" si="110"/>
        <v>1.1851134807008497</v>
      </c>
      <c r="Q200" s="225">
        <f t="shared" si="110"/>
        <v>1.1021708587931649</v>
      </c>
      <c r="R200" s="225">
        <f t="shared" si="110"/>
        <v>0</v>
      </c>
    </row>
    <row r="201" spans="1:26" x14ac:dyDescent="0.25">
      <c r="E201" s="56" t="str">
        <f>E$193</f>
        <v>Nominal return company should have received- real</v>
      </c>
      <c r="F201" s="225">
        <f t="shared" ref="F201:R201" si="111">F$193</f>
        <v>0</v>
      </c>
      <c r="G201" s="56" t="str">
        <f t="shared" si="111"/>
        <v>£m</v>
      </c>
      <c r="H201" s="299">
        <f t="shared" si="111"/>
        <v>6.5409275365488737</v>
      </c>
      <c r="I201" s="299">
        <f t="shared" si="111"/>
        <v>0</v>
      </c>
      <c r="J201" s="225">
        <f t="shared" si="111"/>
        <v>0</v>
      </c>
      <c r="K201" s="225">
        <f t="shared" si="111"/>
        <v>0</v>
      </c>
      <c r="L201" s="225">
        <f t="shared" si="111"/>
        <v>0</v>
      </c>
      <c r="M201" s="226">
        <f t="shared" si="111"/>
        <v>1.4703216393900533</v>
      </c>
      <c r="N201" s="225">
        <f t="shared" si="111"/>
        <v>1.3807274028749263</v>
      </c>
      <c r="O201" s="225">
        <f t="shared" si="111"/>
        <v>1.3214327484484443</v>
      </c>
      <c r="P201" s="225">
        <f t="shared" si="111"/>
        <v>1.2277558330684908</v>
      </c>
      <c r="Q201" s="225">
        <f t="shared" si="111"/>
        <v>1.1406899127669592</v>
      </c>
      <c r="R201" s="225">
        <f t="shared" si="111"/>
        <v>0</v>
      </c>
    </row>
    <row r="202" spans="1:26" x14ac:dyDescent="0.25">
      <c r="A202" s="89"/>
      <c r="B202" s="95"/>
      <c r="C202" s="332"/>
      <c r="D202" s="91"/>
      <c r="E202" s="60" t="s">
        <v>276</v>
      </c>
      <c r="G202" s="56" t="s">
        <v>88</v>
      </c>
      <c r="H202" s="226">
        <f xml:space="preserve"> SUM(J202:R202)</f>
        <v>0.13310366430462928</v>
      </c>
      <c r="I202" s="226"/>
      <c r="J202" s="225">
        <f t="shared" ref="J202:K202" si="112">J201-J200</f>
        <v>0</v>
      </c>
      <c r="K202" s="225">
        <f t="shared" si="112"/>
        <v>0</v>
      </c>
      <c r="L202" s="225">
        <f>L201-L200</f>
        <v>0</v>
      </c>
      <c r="M202" s="226">
        <f>M201-M200</f>
        <v>-5.4010407250217884E-3</v>
      </c>
      <c r="N202" s="225">
        <f t="shared" ref="N202:R202" si="113">N201-N200</f>
        <v>1.0208406088317856E-2</v>
      </c>
      <c r="O202" s="225">
        <f>O201-O200</f>
        <v>4.7134892599897782E-2</v>
      </c>
      <c r="P202" s="225">
        <f t="shared" si="113"/>
        <v>4.2642352367641134E-2</v>
      </c>
      <c r="Q202" s="225">
        <f t="shared" si="113"/>
        <v>3.8519053973794293E-2</v>
      </c>
      <c r="R202" s="225">
        <f t="shared" si="113"/>
        <v>0</v>
      </c>
    </row>
    <row r="204" spans="1:26" x14ac:dyDescent="0.25">
      <c r="E204" s="56" t="str">
        <f>E$191</f>
        <v>Total True up Nominal revenue to company- real</v>
      </c>
      <c r="F204" s="225">
        <f t="shared" ref="F204:R204" si="114">F$191</f>
        <v>0</v>
      </c>
      <c r="G204" s="56" t="str">
        <f t="shared" si="114"/>
        <v>£m</v>
      </c>
      <c r="H204" s="299">
        <f t="shared" si="114"/>
        <v>30.450101626302306</v>
      </c>
      <c r="I204" s="299"/>
      <c r="J204" s="225">
        <f t="shared" si="114"/>
        <v>0</v>
      </c>
      <c r="K204" s="225">
        <f t="shared" si="114"/>
        <v>0</v>
      </c>
      <c r="L204" s="225">
        <f t="shared" si="114"/>
        <v>0</v>
      </c>
      <c r="M204" s="226">
        <f t="shared" si="114"/>
        <v>7.0126624073400317</v>
      </c>
      <c r="N204" s="225">
        <f t="shared" si="114"/>
        <v>6.5127324915555072</v>
      </c>
      <c r="O204" s="225">
        <f t="shared" si="114"/>
        <v>6.0554877890514458</v>
      </c>
      <c r="P204" s="225">
        <f t="shared" si="114"/>
        <v>5.6316819322006211</v>
      </c>
      <c r="Q204" s="225">
        <f t="shared" si="114"/>
        <v>5.237537006154704</v>
      </c>
      <c r="R204" s="225">
        <f t="shared" si="114"/>
        <v>0</v>
      </c>
    </row>
    <row r="205" spans="1:26" x14ac:dyDescent="0.25">
      <c r="E205" s="56" t="str">
        <f>E$194</f>
        <v>Total nominal revenue company should have received- real</v>
      </c>
      <c r="F205" s="225">
        <f t="shared" ref="F205:R205" si="115">F$194</f>
        <v>0</v>
      </c>
      <c r="G205" s="56" t="str">
        <f t="shared" si="115"/>
        <v>£m</v>
      </c>
      <c r="H205" s="299">
        <f t="shared" si="115"/>
        <v>31.082612785428424</v>
      </c>
      <c r="I205" s="299"/>
      <c r="J205" s="225">
        <f t="shared" si="115"/>
        <v>0</v>
      </c>
      <c r="K205" s="225">
        <f t="shared" si="115"/>
        <v>0</v>
      </c>
      <c r="L205" s="225">
        <f t="shared" si="115"/>
        <v>0</v>
      </c>
      <c r="M205" s="226">
        <f t="shared" si="115"/>
        <v>6.9869965584896789</v>
      </c>
      <c r="N205" s="225">
        <f t="shared" si="115"/>
        <v>6.5612430325799407</v>
      </c>
      <c r="O205" s="225">
        <f t="shared" si="115"/>
        <v>6.2794737004040702</v>
      </c>
      <c r="P205" s="225">
        <f t="shared" si="115"/>
        <v>5.8343192064246541</v>
      </c>
      <c r="Q205" s="225">
        <f t="shared" si="115"/>
        <v>5.4205802875300799</v>
      </c>
      <c r="R205" s="225">
        <f t="shared" si="115"/>
        <v>0</v>
      </c>
    </row>
    <row r="206" spans="1:26" x14ac:dyDescent="0.25">
      <c r="A206" s="89"/>
      <c r="B206" s="95"/>
      <c r="C206" s="332"/>
      <c r="D206" s="91"/>
      <c r="E206" s="60" t="s">
        <v>322</v>
      </c>
      <c r="G206" s="56" t="s">
        <v>88</v>
      </c>
      <c r="H206" s="226">
        <f xml:space="preserve"> SUM(J206:R206)</f>
        <v>0.63251115912611411</v>
      </c>
      <c r="I206" s="226"/>
      <c r="J206" s="225">
        <f t="shared" ref="J206:K206" si="116">J205-J204</f>
        <v>0</v>
      </c>
      <c r="K206" s="225">
        <f t="shared" si="116"/>
        <v>0</v>
      </c>
      <c r="L206" s="225">
        <f>L205-L204</f>
        <v>0</v>
      </c>
      <c r="M206" s="226">
        <f>M205-M204</f>
        <v>-2.5665848850352724E-2</v>
      </c>
      <c r="N206" s="225">
        <f t="shared" ref="N206:R206" si="117">N205-N204</f>
        <v>4.8510541024433529E-2</v>
      </c>
      <c r="O206" s="225">
        <f t="shared" si="117"/>
        <v>0.22398591135262436</v>
      </c>
      <c r="P206" s="225">
        <f t="shared" si="117"/>
        <v>0.20263727422403299</v>
      </c>
      <c r="Q206" s="225">
        <f t="shared" si="117"/>
        <v>0.18304328137537595</v>
      </c>
      <c r="R206" s="225">
        <f t="shared" si="117"/>
        <v>0</v>
      </c>
    </row>
    <row r="208" spans="1:26" x14ac:dyDescent="0.25">
      <c r="B208" s="80" t="s">
        <v>270</v>
      </c>
      <c r="E208" s="60"/>
      <c r="H208" s="226"/>
      <c r="I208" s="226"/>
      <c r="J208" s="225"/>
      <c r="K208" s="225"/>
      <c r="L208" s="225"/>
      <c r="M208" s="226"/>
      <c r="N208" s="225"/>
      <c r="O208" s="225"/>
      <c r="P208" s="225"/>
      <c r="Q208" s="225"/>
      <c r="R208" s="225"/>
    </row>
    <row r="209" spans="1:26" s="126" customFormat="1" x14ac:dyDescent="0.25">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5">
      <c r="A210" s="249"/>
      <c r="B210" s="250"/>
      <c r="C210" s="251"/>
      <c r="D210" s="252"/>
      <c r="E210" s="49" t="str">
        <f>InpR!E$111</f>
        <v>WACC real on RCV - CPI(H) bf and additions - BR</v>
      </c>
      <c r="F210" s="253">
        <f>InpR!F$111</f>
        <v>0</v>
      </c>
      <c r="G210" s="271" t="str">
        <f>InpR!G$111</f>
        <v>%</v>
      </c>
      <c r="H210" s="253" t="str">
        <f>InpR!I$111</f>
        <v>PR19 Financial model, 'Bio Resources' sheet row 860</v>
      </c>
      <c r="I210" s="253" t="e">
        <f>InpR!#REF!</f>
        <v>#REF!</v>
      </c>
      <c r="J210" s="253">
        <f>InpR!J$111</f>
        <v>0</v>
      </c>
      <c r="K210" s="253">
        <f>InpR!K$111</f>
        <v>0</v>
      </c>
      <c r="L210" s="253">
        <f>InpR!L$111</f>
        <v>0</v>
      </c>
      <c r="M210" s="253">
        <f>InpR!M$111</f>
        <v>3.1200592500000068E-2</v>
      </c>
      <c r="N210" s="253">
        <f>InpR!N$111</f>
        <v>3.1200592500000068E-2</v>
      </c>
      <c r="O210" s="253">
        <f>InpR!O$111</f>
        <v>3.1200592500000068E-2</v>
      </c>
      <c r="P210" s="253">
        <f>InpR!P$111</f>
        <v>3.1200592500000068E-2</v>
      </c>
      <c r="Q210" s="253">
        <f>InpR!Q$111</f>
        <v>3.1200592500000068E-2</v>
      </c>
      <c r="R210" s="253">
        <f>InpR!R$111</f>
        <v>0</v>
      </c>
    </row>
    <row r="211" spans="1:26" x14ac:dyDescent="0.25">
      <c r="E211" s="60" t="s">
        <v>272</v>
      </c>
      <c r="G211" s="56" t="s">
        <v>273</v>
      </c>
      <c r="J211" s="309">
        <f xml:space="preserve"> (1 + J$210) ^ J$209</f>
        <v>1</v>
      </c>
      <c r="K211" s="309">
        <f t="shared" ref="K211:R211" si="118" xml:space="preserve"> (1 + K$210) ^ K$209</f>
        <v>1</v>
      </c>
      <c r="L211" s="309">
        <f t="shared" si="118"/>
        <v>1</v>
      </c>
      <c r="M211" s="309">
        <f t="shared" si="118"/>
        <v>1.1307656717248122</v>
      </c>
      <c r="N211" s="309">
        <f t="shared" si="118"/>
        <v>1.0965525814753758</v>
      </c>
      <c r="O211" s="309">
        <f t="shared" si="118"/>
        <v>1.0633746619723512</v>
      </c>
      <c r="P211" s="309">
        <f t="shared" si="118"/>
        <v>1.0312005925000001</v>
      </c>
      <c r="Q211" s="309">
        <f t="shared" si="118"/>
        <v>1</v>
      </c>
      <c r="R211" s="309">
        <f t="shared" si="118"/>
        <v>1</v>
      </c>
    </row>
    <row r="213" spans="1:26" x14ac:dyDescent="0.25">
      <c r="B213" s="80" t="s">
        <v>274</v>
      </c>
    </row>
    <row r="214" spans="1:26" x14ac:dyDescent="0.25">
      <c r="E214" s="56" t="str">
        <f>E$198</f>
        <v>Value of True up run-off - real</v>
      </c>
      <c r="F214" s="225">
        <f t="shared" ref="F214:R214" si="119">F$198</f>
        <v>0</v>
      </c>
      <c r="G214" s="56" t="str">
        <f t="shared" si="119"/>
        <v>£m</v>
      </c>
      <c r="H214" s="299">
        <f t="shared" si="119"/>
        <v>0.49940749482148394</v>
      </c>
      <c r="I214" s="299">
        <f t="shared" si="119"/>
        <v>0</v>
      </c>
      <c r="J214" s="225">
        <f t="shared" si="119"/>
        <v>0</v>
      </c>
      <c r="K214" s="225">
        <f t="shared" si="119"/>
        <v>0</v>
      </c>
      <c r="L214" s="225">
        <f t="shared" si="119"/>
        <v>0</v>
      </c>
      <c r="M214" s="226">
        <f t="shared" si="119"/>
        <v>-2.0264808125331157E-2</v>
      </c>
      <c r="N214" s="225">
        <f t="shared" si="119"/>
        <v>3.8302134936115451E-2</v>
      </c>
      <c r="O214" s="225">
        <f t="shared" si="119"/>
        <v>0.17685101875272657</v>
      </c>
      <c r="P214" s="225">
        <f t="shared" si="119"/>
        <v>0.15999492185639141</v>
      </c>
      <c r="Q214" s="225">
        <f t="shared" si="119"/>
        <v>0.14452422740158166</v>
      </c>
      <c r="R214" s="225">
        <f t="shared" si="119"/>
        <v>0</v>
      </c>
    </row>
    <row r="215" spans="1:26" x14ac:dyDescent="0.25">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1.1307656717248122</v>
      </c>
      <c r="N215" s="225">
        <f t="shared" si="120"/>
        <v>1.0965525814753758</v>
      </c>
      <c r="O215" s="225">
        <f t="shared" si="120"/>
        <v>1.0633746619723512</v>
      </c>
      <c r="P215" s="225">
        <f t="shared" si="120"/>
        <v>1.0312005925000001</v>
      </c>
      <c r="Q215" s="225">
        <f t="shared" si="120"/>
        <v>1</v>
      </c>
      <c r="R215" s="225">
        <f t="shared" si="120"/>
        <v>1</v>
      </c>
    </row>
    <row r="216" spans="1:26" s="44" customFormat="1" x14ac:dyDescent="0.25">
      <c r="A216" s="319"/>
      <c r="B216" s="320"/>
      <c r="C216" s="321"/>
      <c r="D216" s="322"/>
      <c r="E216" s="44" t="s">
        <v>363</v>
      </c>
      <c r="G216" s="44" t="s">
        <v>88</v>
      </c>
      <c r="H216" s="325">
        <f xml:space="preserve"> SUM(J216:R216)</f>
        <v>0.51665553347053139</v>
      </c>
      <c r="J216" s="325">
        <f xml:space="preserve"> J214 * J215</f>
        <v>0</v>
      </c>
      <c r="K216" s="325">
        <f t="shared" ref="K216:R216" si="121" xml:space="preserve"> K214 * K215</f>
        <v>0</v>
      </c>
      <c r="L216" s="325">
        <f t="shared" si="121"/>
        <v>0</v>
      </c>
      <c r="M216" s="331">
        <f t="shared" si="121"/>
        <v>-2.2914749372214518E-2</v>
      </c>
      <c r="N216" s="325">
        <f t="shared" si="121"/>
        <v>4.2000304940215574E-2</v>
      </c>
      <c r="O216" s="325">
        <f t="shared" si="121"/>
        <v>0.18805889228564657</v>
      </c>
      <c r="P216" s="325">
        <f t="shared" si="121"/>
        <v>0.16498685821530204</v>
      </c>
      <c r="Q216" s="325">
        <f t="shared" si="121"/>
        <v>0.14452422740158166</v>
      </c>
      <c r="R216" s="325">
        <f t="shared" si="121"/>
        <v>0</v>
      </c>
      <c r="S216" s="46"/>
      <c r="T216" s="46"/>
      <c r="U216" s="46"/>
      <c r="V216" s="46"/>
      <c r="W216" s="46"/>
      <c r="X216" s="46"/>
      <c r="Y216" s="46"/>
      <c r="Z216" s="46"/>
    </row>
    <row r="218" spans="1:26" x14ac:dyDescent="0.25">
      <c r="B218" s="80" t="s">
        <v>275</v>
      </c>
    </row>
    <row r="219" spans="1:26" x14ac:dyDescent="0.25">
      <c r="E219" s="56" t="str">
        <f>E202</f>
        <v>Value of True up return - real</v>
      </c>
      <c r="F219" s="225">
        <f t="shared" ref="F219:R219" si="122">F202</f>
        <v>0</v>
      </c>
      <c r="G219" s="56" t="str">
        <f t="shared" si="122"/>
        <v>£m</v>
      </c>
      <c r="H219" s="299">
        <f t="shared" si="122"/>
        <v>0.13310366430462928</v>
      </c>
      <c r="I219" s="299">
        <f t="shared" si="122"/>
        <v>0</v>
      </c>
      <c r="J219" s="225">
        <f t="shared" si="122"/>
        <v>0</v>
      </c>
      <c r="K219" s="225">
        <f t="shared" si="122"/>
        <v>0</v>
      </c>
      <c r="L219" s="225">
        <f t="shared" si="122"/>
        <v>0</v>
      </c>
      <c r="M219" s="226">
        <f t="shared" si="122"/>
        <v>-5.4010407250217884E-3</v>
      </c>
      <c r="N219" s="225">
        <f t="shared" si="122"/>
        <v>1.0208406088317856E-2</v>
      </c>
      <c r="O219" s="225">
        <f t="shared" si="122"/>
        <v>4.7134892599897782E-2</v>
      </c>
      <c r="P219" s="225">
        <f t="shared" si="122"/>
        <v>4.2642352367641134E-2</v>
      </c>
      <c r="Q219" s="225">
        <f t="shared" si="122"/>
        <v>3.8519053973794293E-2</v>
      </c>
      <c r="R219" s="225">
        <f t="shared" si="122"/>
        <v>0</v>
      </c>
    </row>
    <row r="220" spans="1:26" x14ac:dyDescent="0.25">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1.1307656717248122</v>
      </c>
      <c r="N220" s="225">
        <f t="shared" si="123"/>
        <v>1.0965525814753758</v>
      </c>
      <c r="O220" s="225">
        <f t="shared" si="123"/>
        <v>1.0633746619723512</v>
      </c>
      <c r="P220" s="225">
        <f t="shared" si="123"/>
        <v>1.0312005925000001</v>
      </c>
      <c r="Q220" s="225">
        <f t="shared" si="123"/>
        <v>1</v>
      </c>
      <c r="R220" s="225">
        <f t="shared" si="123"/>
        <v>1</v>
      </c>
    </row>
    <row r="221" spans="1:26" s="44" customFormat="1" x14ac:dyDescent="0.25">
      <c r="A221" s="319"/>
      <c r="B221" s="320"/>
      <c r="C221" s="321"/>
      <c r="D221" s="322"/>
      <c r="E221" s="44" t="s">
        <v>364</v>
      </c>
      <c r="G221" s="44" t="s">
        <v>88</v>
      </c>
      <c r="H221" s="325">
        <f xml:space="preserve"> SUM(J221:R221)</f>
        <v>0.13770066609187057</v>
      </c>
      <c r="J221" s="325">
        <f xml:space="preserve"> J219 * J220</f>
        <v>0</v>
      </c>
      <c r="K221" s="325">
        <f t="shared" ref="K221:M221" si="124" xml:space="preserve"> K219 * K220</f>
        <v>0</v>
      </c>
      <c r="L221" s="325">
        <f t="shared" si="124"/>
        <v>0</v>
      </c>
      <c r="M221" s="331">
        <f t="shared" si="124"/>
        <v>-6.1073114434423295E-3</v>
      </c>
      <c r="N221" s="325">
        <f xml:space="preserve"> N219 * N220</f>
        <v>1.1194054048893889E-2</v>
      </c>
      <c r="O221" s="325">
        <f t="shared" ref="O221:R221" si="125" xml:space="preserve"> O219 * O220</f>
        <v>5.0122050485519383E-2</v>
      </c>
      <c r="P221" s="325">
        <f t="shared" si="125"/>
        <v>4.3972819027105321E-2</v>
      </c>
      <c r="Q221" s="325">
        <f t="shared" si="125"/>
        <v>3.8519053973794293E-2</v>
      </c>
      <c r="R221" s="325">
        <f t="shared" si="125"/>
        <v>0</v>
      </c>
      <c r="S221" s="46"/>
      <c r="T221" s="46"/>
      <c r="U221" s="46"/>
      <c r="V221" s="46"/>
      <c r="W221" s="46"/>
      <c r="X221" s="46"/>
      <c r="Y221" s="46"/>
      <c r="Z221" s="46"/>
    </row>
    <row r="223" spans="1:26" x14ac:dyDescent="0.3">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35" priority="6" stopIfTrue="1" operator="notEqual">
      <formula>0</formula>
    </cfRule>
    <cfRule type="cellIs" dxfId="34" priority="7" stopIfTrue="1" operator="equal">
      <formula>""</formula>
    </cfRule>
  </conditionalFormatting>
  <conditionalFormatting sqref="J3:Z3">
    <cfRule type="cellIs" dxfId="33" priority="8" operator="equal">
      <formula>"Post-Fcst"</formula>
    </cfRule>
    <cfRule type="cellIs" dxfId="32" priority="9" operator="equal">
      <formula>"Forecast"</formula>
    </cfRule>
    <cfRule type="cellIs" dxfId="31" priority="10" operator="equal">
      <formula>"Pre Fcst"</formula>
    </cfRule>
  </conditionalFormatting>
  <conditionalFormatting sqref="F2">
    <cfRule type="cellIs" dxfId="30" priority="4" stopIfTrue="1" operator="notEqual">
      <formula>0</formula>
    </cfRule>
    <cfRule type="cellIs" dxfId="29" priority="5" stopIfTrue="1" operator="equal">
      <formula>""</formula>
    </cfRule>
  </conditionalFormatting>
  <conditionalFormatting sqref="F165">
    <cfRule type="cellIs" dxfId="28" priority="2" stopIfTrue="1" operator="notEqual">
      <formula>0</formula>
    </cfRule>
    <cfRule type="cellIs" dxfId="27"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69" customWidth="1"/>
    <col min="2" max="2" width="1.81640625" style="80" customWidth="1"/>
    <col min="3" max="3" width="1.81640625" style="144" customWidth="1"/>
    <col min="4" max="4" width="1.81640625" style="74" customWidth="1"/>
    <col min="5" max="5" width="73.453125" style="56" bestFit="1" customWidth="1"/>
    <col min="6" max="6" width="12.54296875" style="56" customWidth="1"/>
    <col min="7" max="7" width="10.81640625" style="56" bestFit="1" customWidth="1"/>
    <col min="8" max="8" width="11.54296875" style="56" customWidth="1"/>
    <col min="9" max="9" width="2.54296875" style="56" customWidth="1"/>
    <col min="10" max="18" width="11.54296875" style="56" customWidth="1"/>
    <col min="19" max="26" width="11.54296875" style="60" hidden="1" customWidth="1"/>
    <col min="27" max="16384" width="0" style="56" hidden="1"/>
  </cols>
  <sheetData>
    <row r="1" spans="1:26" s="156" customFormat="1" ht="25" x14ac:dyDescent="0.5">
      <c r="A1" s="152" t="str">
        <f ca="1" xml:space="preserve"> RIGHT(CELL("filename", $A$1), LEN(CELL("filename", $A$1)) - SEARCH("]", CELL("filename", $A$1)))</f>
        <v>Calcs-DMMY</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5">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25">
      <c r="C10" s="144" t="s">
        <v>259</v>
      </c>
    </row>
    <row r="12" spans="1:26" x14ac:dyDescent="0.25">
      <c r="B12" s="80" t="s">
        <v>132</v>
      </c>
    </row>
    <row r="13" spans="1:26" s="236" customFormat="1" x14ac:dyDescent="0.25">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5">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5">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5">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5">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5">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5">
      <c r="A20" s="260"/>
      <c r="B20" s="261"/>
      <c r="C20" s="262"/>
      <c r="D20" s="263"/>
      <c r="I20" s="266"/>
      <c r="S20" s="266"/>
      <c r="T20" s="266"/>
      <c r="U20" s="266"/>
      <c r="V20" s="266"/>
      <c r="W20" s="266"/>
      <c r="X20" s="266"/>
      <c r="Y20" s="266"/>
      <c r="Z20" s="266"/>
    </row>
    <row r="21" spans="1:16383" x14ac:dyDescent="0.25">
      <c r="B21" s="80" t="s">
        <v>135</v>
      </c>
    </row>
    <row r="22" spans="1:16383" s="208" customFormat="1" x14ac:dyDescent="0.25">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0</v>
      </c>
      <c r="N22" s="292">
        <f t="shared" si="3"/>
        <v>0</v>
      </c>
      <c r="O22" s="292">
        <f t="shared" si="3"/>
        <v>0</v>
      </c>
      <c r="P22" s="292">
        <f t="shared" si="3"/>
        <v>0</v>
      </c>
      <c r="Q22" s="292">
        <f t="shared" si="3"/>
        <v>0</v>
      </c>
      <c r="R22" s="292">
        <f t="shared" si="3"/>
        <v>0</v>
      </c>
    </row>
    <row r="23" spans="1:16383" s="213" customFormat="1" x14ac:dyDescent="0.25">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5">
      <c r="A24" s="210"/>
      <c r="B24" s="204"/>
      <c r="C24" s="205"/>
      <c r="D24" s="211"/>
      <c r="E24" s="213" t="s">
        <v>136</v>
      </c>
      <c r="G24" s="125" t="s">
        <v>88</v>
      </c>
      <c r="J24" s="225">
        <f>J22*J23</f>
        <v>0</v>
      </c>
      <c r="K24" s="225">
        <f t="shared" ref="K24:R24" si="5">K22*K23</f>
        <v>0</v>
      </c>
      <c r="L24" s="225">
        <f t="shared" si="5"/>
        <v>0</v>
      </c>
      <c r="M24" s="225">
        <f>M22*M23</f>
        <v>0</v>
      </c>
      <c r="N24" s="225">
        <f t="shared" si="5"/>
        <v>0</v>
      </c>
      <c r="O24" s="225">
        <f t="shared" si="5"/>
        <v>0</v>
      </c>
      <c r="P24" s="225">
        <f t="shared" si="5"/>
        <v>0</v>
      </c>
      <c r="Q24" s="225">
        <f t="shared" si="5"/>
        <v>0</v>
      </c>
      <c r="R24" s="225">
        <f t="shared" si="5"/>
        <v>0</v>
      </c>
      <c r="S24" s="126"/>
      <c r="T24" s="126"/>
      <c r="U24" s="126"/>
      <c r="V24" s="126"/>
      <c r="W24" s="126"/>
      <c r="X24" s="126"/>
      <c r="Y24" s="126"/>
      <c r="Z24" s="126"/>
    </row>
    <row r="26" spans="1:16383" s="253" customFormat="1" x14ac:dyDescent="0.25">
      <c r="A26" s="249"/>
      <c r="B26" s="250"/>
      <c r="C26" s="251"/>
      <c r="D26" s="252"/>
      <c r="E26" s="49" t="str">
        <f xml:space="preserve"> InpR!E$98</f>
        <v>Run-off rate - CPI(H) + RPI wedge - active - DMMY</v>
      </c>
      <c r="F26" s="253">
        <f xml:space="preserve"> InpR!F$98</f>
        <v>0</v>
      </c>
      <c r="G26" s="271" t="str">
        <f xml:space="preserve"> InpR!G$98</f>
        <v>%</v>
      </c>
      <c r="H26" s="253" t="str">
        <f xml:space="preserve"> InpR!I$98</f>
        <v>PR19 Financial model, 'F_OutputsMaster' sheet row 966, PR19FM2103POST</v>
      </c>
      <c r="I26" s="253" t="e">
        <f xml:space="preserve"> InpR!#REF!</f>
        <v>#REF!</v>
      </c>
      <c r="J26" s="253">
        <f xml:space="preserve"> InpR!J$98</f>
        <v>0</v>
      </c>
      <c r="K26" s="253">
        <f xml:space="preserve"> InpR!K$98</f>
        <v>0</v>
      </c>
      <c r="L26" s="253">
        <f xml:space="preserve"> InpR!L$98</f>
        <v>0</v>
      </c>
      <c r="M26" s="253">
        <f xml:space="preserve"> InpR!M$98</f>
        <v>0</v>
      </c>
      <c r="N26" s="253">
        <f xml:space="preserve"> InpR!N$98</f>
        <v>0</v>
      </c>
      <c r="O26" s="253">
        <f xml:space="preserve"> InpR!O$98</f>
        <v>0</v>
      </c>
      <c r="P26" s="253">
        <f xml:space="preserve"> InpR!P$98</f>
        <v>0</v>
      </c>
      <c r="Q26" s="253">
        <f xml:space="preserve"> InpR!Q$98</f>
        <v>0</v>
      </c>
      <c r="R26" s="253">
        <f xml:space="preserve"> InpR!R$98</f>
        <v>0</v>
      </c>
    </row>
    <row r="27" spans="1:16383" s="199" customFormat="1" x14ac:dyDescent="0.25">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0</v>
      </c>
      <c r="N27" s="292">
        <f t="shared" si="6"/>
        <v>0</v>
      </c>
      <c r="O27" s="292">
        <f t="shared" si="6"/>
        <v>0</v>
      </c>
      <c r="P27" s="292">
        <f t="shared" si="6"/>
        <v>0</v>
      </c>
      <c r="Q27" s="292">
        <f t="shared" si="6"/>
        <v>0</v>
      </c>
      <c r="R27" s="292">
        <f t="shared" si="6"/>
        <v>0</v>
      </c>
    </row>
    <row r="28" spans="1:16383" x14ac:dyDescent="0.25">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0</v>
      </c>
      <c r="N28" s="225">
        <f t="shared" si="7"/>
        <v>0</v>
      </c>
      <c r="O28" s="225">
        <f t="shared" si="7"/>
        <v>0</v>
      </c>
      <c r="P28" s="225">
        <f t="shared" si="7"/>
        <v>0</v>
      </c>
      <c r="Q28" s="225">
        <f t="shared" si="7"/>
        <v>0</v>
      </c>
      <c r="R28" s="225">
        <f t="shared" si="7"/>
        <v>0</v>
      </c>
    </row>
    <row r="29" spans="1:16383" x14ac:dyDescent="0.25">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0</v>
      </c>
      <c r="N29" s="225">
        <f t="shared" si="8"/>
        <v>0</v>
      </c>
      <c r="O29" s="225">
        <f t="shared" si="8"/>
        <v>0</v>
      </c>
      <c r="P29" s="225">
        <f t="shared" si="8"/>
        <v>0</v>
      </c>
      <c r="Q29" s="225">
        <f t="shared" si="8"/>
        <v>0</v>
      </c>
      <c r="R29" s="225">
        <f t="shared" si="8"/>
        <v>0</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5">
      <c r="F30" s="304"/>
      <c r="G30" s="304"/>
      <c r="H30" s="304"/>
    </row>
    <row r="31" spans="1:16383" s="242" customFormat="1" x14ac:dyDescent="0.25">
      <c r="A31" s="238"/>
      <c r="B31" s="239"/>
      <c r="C31" s="240"/>
      <c r="D31" s="241"/>
      <c r="E31" s="242" t="str">
        <f>InpR!$E$91</f>
        <v>RCV - CPI(H) + RPI wedge initial balance - nominal - DMMY</v>
      </c>
      <c r="F31" s="302">
        <f>InpR!$F$91</f>
        <v>0</v>
      </c>
      <c r="G31" s="301" t="str">
        <f>InpR!$G$91</f>
        <v>£m</v>
      </c>
      <c r="H31" s="303"/>
    </row>
    <row r="32" spans="1:16383" s="49" customFormat="1" x14ac:dyDescent="0.25">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5">
      <c r="A33" s="67"/>
      <c r="B33" s="78"/>
      <c r="C33" s="142"/>
      <c r="D33" s="72"/>
      <c r="S33" s="59"/>
      <c r="T33" s="59"/>
      <c r="U33" s="59"/>
      <c r="V33" s="59"/>
      <c r="W33" s="59"/>
      <c r="X33" s="59"/>
      <c r="Y33" s="59"/>
      <c r="Z33" s="59"/>
    </row>
    <row r="34" spans="1:26" s="59" customFormat="1" x14ac:dyDescent="0.25">
      <c r="A34" s="66"/>
      <c r="B34" s="70"/>
      <c r="C34" s="145"/>
      <c r="D34" s="75"/>
      <c r="E34" s="59" t="s">
        <v>138</v>
      </c>
      <c r="G34" s="126" t="s">
        <v>88</v>
      </c>
      <c r="J34" s="293">
        <f t="shared" ref="J34:R34" si="9" xml:space="preserve"> I37</f>
        <v>0</v>
      </c>
      <c r="K34" s="293">
        <f t="shared" si="9"/>
        <v>0</v>
      </c>
      <c r="L34" s="293">
        <f t="shared" si="9"/>
        <v>0</v>
      </c>
      <c r="M34" s="293">
        <f t="shared" si="9"/>
        <v>0</v>
      </c>
      <c r="N34" s="293">
        <f t="shared" si="9"/>
        <v>0</v>
      </c>
      <c r="O34" s="293">
        <f t="shared" si="9"/>
        <v>0</v>
      </c>
      <c r="P34" s="293">
        <f t="shared" si="9"/>
        <v>0</v>
      </c>
      <c r="Q34" s="293">
        <f t="shared" si="9"/>
        <v>0</v>
      </c>
      <c r="R34" s="293">
        <f t="shared" si="9"/>
        <v>0</v>
      </c>
    </row>
    <row r="35" spans="1:26" s="59" customFormat="1" x14ac:dyDescent="0.25">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0</v>
      </c>
      <c r="N35" s="293">
        <f t="shared" si="10"/>
        <v>0</v>
      </c>
      <c r="O35" s="293">
        <f t="shared" si="10"/>
        <v>0</v>
      </c>
      <c r="P35" s="293">
        <f t="shared" si="10"/>
        <v>0</v>
      </c>
      <c r="Q35" s="293">
        <f t="shared" si="10"/>
        <v>0</v>
      </c>
      <c r="R35" s="293">
        <f t="shared" si="10"/>
        <v>0</v>
      </c>
    </row>
    <row r="36" spans="1:26" s="59" customFormat="1" x14ac:dyDescent="0.25">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0</v>
      </c>
      <c r="N36" s="293">
        <f t="shared" si="11"/>
        <v>0</v>
      </c>
      <c r="O36" s="293">
        <f t="shared" si="11"/>
        <v>0</v>
      </c>
      <c r="P36" s="293">
        <f t="shared" si="11"/>
        <v>0</v>
      </c>
      <c r="Q36" s="293">
        <f t="shared" si="11"/>
        <v>0</v>
      </c>
      <c r="R36" s="293">
        <f t="shared" si="11"/>
        <v>0</v>
      </c>
    </row>
    <row r="37" spans="1:26" s="173" customFormat="1" x14ac:dyDescent="0.25">
      <c r="A37" s="169"/>
      <c r="B37" s="170"/>
      <c r="C37" s="171"/>
      <c r="D37" s="172"/>
      <c r="E37" s="173" t="s">
        <v>141</v>
      </c>
      <c r="G37" s="202" t="s">
        <v>88</v>
      </c>
      <c r="J37" s="294">
        <f t="shared" ref="J37:R37" si="12" xml:space="preserve"> IF( J32 = 1, $F31, J34 + J35 - J36)</f>
        <v>0</v>
      </c>
      <c r="K37" s="294">
        <f t="shared" si="12"/>
        <v>0</v>
      </c>
      <c r="L37" s="294">
        <f t="shared" si="12"/>
        <v>0</v>
      </c>
      <c r="M37" s="294">
        <f t="shared" si="12"/>
        <v>0</v>
      </c>
      <c r="N37" s="294">
        <f t="shared" si="12"/>
        <v>0</v>
      </c>
      <c r="O37" s="294">
        <f t="shared" si="12"/>
        <v>0</v>
      </c>
      <c r="P37" s="294">
        <f t="shared" si="12"/>
        <v>0</v>
      </c>
      <c r="Q37" s="294">
        <f t="shared" si="12"/>
        <v>0</v>
      </c>
      <c r="R37" s="294">
        <f t="shared" si="12"/>
        <v>0</v>
      </c>
    </row>
    <row r="39" spans="1:26" s="126" customFormat="1" x14ac:dyDescent="0.25">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0</v>
      </c>
      <c r="N39" s="226">
        <f t="shared" si="13"/>
        <v>0</v>
      </c>
      <c r="O39" s="226">
        <f t="shared" si="13"/>
        <v>0</v>
      </c>
      <c r="P39" s="226">
        <f t="shared" si="13"/>
        <v>0</v>
      </c>
      <c r="Q39" s="226">
        <f t="shared" si="13"/>
        <v>0</v>
      </c>
      <c r="R39" s="226">
        <f t="shared" si="13"/>
        <v>0</v>
      </c>
    </row>
    <row r="40" spans="1:26" s="126" customFormat="1" x14ac:dyDescent="0.25">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0</v>
      </c>
      <c r="N40" s="293">
        <f t="shared" si="14"/>
        <v>0</v>
      </c>
      <c r="O40" s="293">
        <f t="shared" si="14"/>
        <v>0</v>
      </c>
      <c r="P40" s="293">
        <f t="shared" si="14"/>
        <v>0</v>
      </c>
      <c r="Q40" s="293">
        <f t="shared" si="14"/>
        <v>0</v>
      </c>
      <c r="R40" s="293">
        <f t="shared" si="14"/>
        <v>0</v>
      </c>
    </row>
    <row r="41" spans="1:26" s="126" customFormat="1" x14ac:dyDescent="0.25">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0</v>
      </c>
      <c r="M41" s="226">
        <f t="shared" si="15"/>
        <v>0</v>
      </c>
      <c r="N41" s="226">
        <f t="shared" si="15"/>
        <v>0</v>
      </c>
      <c r="O41" s="226">
        <f t="shared" si="15"/>
        <v>0</v>
      </c>
      <c r="P41" s="226">
        <f t="shared" si="15"/>
        <v>0</v>
      </c>
      <c r="Q41" s="226">
        <f t="shared" si="15"/>
        <v>0</v>
      </c>
      <c r="R41" s="226">
        <f t="shared" si="15"/>
        <v>0</v>
      </c>
    </row>
    <row r="42" spans="1:26" s="126" customFormat="1" x14ac:dyDescent="0.25">
      <c r="A42" s="203"/>
      <c r="B42" s="204"/>
      <c r="C42" s="205"/>
      <c r="D42" s="206"/>
      <c r="E42" s="126" t="s">
        <v>142</v>
      </c>
      <c r="G42" s="126" t="s">
        <v>88</v>
      </c>
      <c r="J42" s="226">
        <f t="shared" ref="J42:L42" si="16" xml:space="preserve"> ( (J39+J40) + J41) / 2</f>
        <v>0</v>
      </c>
      <c r="K42" s="226">
        <f t="shared" si="16"/>
        <v>0</v>
      </c>
      <c r="L42" s="226">
        <f t="shared" si="16"/>
        <v>0</v>
      </c>
      <c r="M42" s="226">
        <f xml:space="preserve"> ( (M39+M40) + M41) / 2</f>
        <v>0</v>
      </c>
      <c r="N42" s="226">
        <f t="shared" ref="N42:R42" si="17" xml:space="preserve"> ( (N39+N40) + N41) / 2</f>
        <v>0</v>
      </c>
      <c r="O42" s="226">
        <f t="shared" si="17"/>
        <v>0</v>
      </c>
      <c r="P42" s="226">
        <f t="shared" si="17"/>
        <v>0</v>
      </c>
      <c r="Q42" s="226">
        <f t="shared" si="17"/>
        <v>0</v>
      </c>
      <c r="R42" s="226">
        <f t="shared" si="17"/>
        <v>0</v>
      </c>
    </row>
    <row r="43" spans="1:26" s="126" customFormat="1" x14ac:dyDescent="0.25">
      <c r="A43" s="203"/>
      <c r="B43" s="204"/>
      <c r="C43" s="205"/>
      <c r="D43" s="206"/>
    </row>
    <row r="44" spans="1:26" x14ac:dyDescent="0.25">
      <c r="B44" s="80" t="s">
        <v>143</v>
      </c>
    </row>
    <row r="45" spans="1:26" s="253" customFormat="1" x14ac:dyDescent="0.25">
      <c r="A45" s="249"/>
      <c r="B45" s="250"/>
      <c r="C45" s="251"/>
      <c r="D45" s="252"/>
      <c r="E45" s="253" t="str">
        <f xml:space="preserve"> InpR!E$105</f>
        <v>WACC on RCV - CPI(H) + RPI wedge bf and additions - DMMY</v>
      </c>
      <c r="F45" s="253">
        <f xml:space="preserve"> InpR!F$105</f>
        <v>0</v>
      </c>
      <c r="G45" s="271" t="str">
        <f xml:space="preserve"> InpR!G$105</f>
        <v>%</v>
      </c>
      <c r="H45" s="253" t="str">
        <f xml:space="preserve"> InpR!I$105</f>
        <v>PR19 Financial model, 'Dummy Control' sheet row 980</v>
      </c>
      <c r="I45" s="253" t="e">
        <f xml:space="preserve"> InpR!#REF!</f>
        <v>#REF!</v>
      </c>
      <c r="J45" s="253">
        <f xml:space="preserve"> InpR!J$105</f>
        <v>0</v>
      </c>
      <c r="K45" s="253">
        <f xml:space="preserve"> InpR!K$105</f>
        <v>0</v>
      </c>
      <c r="L45" s="253">
        <f xml:space="preserve"> InpR!L$105</f>
        <v>0</v>
      </c>
      <c r="M45" s="253">
        <f xml:space="preserve"> InpR!M$105</f>
        <v>0</v>
      </c>
      <c r="N45" s="253">
        <f xml:space="preserve"> InpR!N$105</f>
        <v>0</v>
      </c>
      <c r="O45" s="253">
        <f xml:space="preserve"> InpR!O$105</f>
        <v>0</v>
      </c>
      <c r="P45" s="253">
        <f xml:space="preserve"> InpR!P$105</f>
        <v>0</v>
      </c>
      <c r="Q45" s="253">
        <f xml:space="preserve"> InpR!Q$105</f>
        <v>0</v>
      </c>
      <c r="R45" s="253">
        <f xml:space="preserve"> InpR!R$105</f>
        <v>0</v>
      </c>
    </row>
    <row r="46" spans="1:26" s="126" customFormat="1" x14ac:dyDescent="0.25">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5">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0</v>
      </c>
      <c r="M47" s="225">
        <f t="shared" si="18"/>
        <v>0</v>
      </c>
      <c r="N47" s="225">
        <f t="shared" si="18"/>
        <v>0</v>
      </c>
      <c r="O47" s="225">
        <f t="shared" si="18"/>
        <v>0</v>
      </c>
      <c r="P47" s="225">
        <f t="shared" si="18"/>
        <v>0</v>
      </c>
      <c r="Q47" s="225">
        <f t="shared" si="18"/>
        <v>0</v>
      </c>
      <c r="R47" s="225">
        <f t="shared" si="18"/>
        <v>0</v>
      </c>
      <c r="S47" s="126"/>
      <c r="T47" s="126"/>
      <c r="U47" s="126"/>
      <c r="V47" s="126"/>
      <c r="W47" s="126"/>
      <c r="X47" s="126"/>
      <c r="Y47" s="126"/>
      <c r="Z47" s="126"/>
    </row>
    <row r="48" spans="1:26" s="125" customFormat="1" x14ac:dyDescent="0.25">
      <c r="A48" s="210"/>
      <c r="B48" s="204"/>
      <c r="C48" s="205"/>
      <c r="D48" s="211"/>
      <c r="E48" s="213" t="s">
        <v>144</v>
      </c>
      <c r="G48" s="125" t="s">
        <v>88</v>
      </c>
      <c r="H48" s="225"/>
      <c r="I48" s="225"/>
      <c r="J48" s="225">
        <f t="shared" ref="J48:K48" si="19">J45*J47*J46</f>
        <v>0</v>
      </c>
      <c r="K48" s="225">
        <f t="shared" si="19"/>
        <v>0</v>
      </c>
      <c r="L48" s="225">
        <f>L45*L47*L46</f>
        <v>0</v>
      </c>
      <c r="M48" s="225">
        <f>M45*M47*M46</f>
        <v>0</v>
      </c>
      <c r="N48" s="225">
        <f t="shared" ref="N48:R48" si="20">N45*N47*N46</f>
        <v>0</v>
      </c>
      <c r="O48" s="225">
        <f t="shared" si="20"/>
        <v>0</v>
      </c>
      <c r="P48" s="225">
        <f t="shared" si="20"/>
        <v>0</v>
      </c>
      <c r="Q48" s="225">
        <f t="shared" si="20"/>
        <v>0</v>
      </c>
      <c r="R48" s="225">
        <f t="shared" si="20"/>
        <v>0</v>
      </c>
      <c r="S48" s="126"/>
      <c r="T48" s="126"/>
      <c r="U48" s="126"/>
      <c r="V48" s="126"/>
      <c r="W48" s="126"/>
      <c r="X48" s="126"/>
      <c r="Y48" s="126"/>
      <c r="Z48" s="126"/>
    </row>
    <row r="49" spans="1:26" s="125" customFormat="1" x14ac:dyDescent="0.25">
      <c r="A49" s="210"/>
      <c r="B49" s="204"/>
      <c r="C49" s="205"/>
      <c r="D49" s="211"/>
      <c r="S49" s="126"/>
      <c r="T49" s="126"/>
      <c r="U49" s="126"/>
      <c r="V49" s="126"/>
      <c r="W49" s="126"/>
      <c r="X49" s="126"/>
      <c r="Y49" s="126"/>
      <c r="Z49" s="126"/>
    </row>
    <row r="50" spans="1:26" x14ac:dyDescent="0.25">
      <c r="B50" s="80" t="s">
        <v>145</v>
      </c>
    </row>
    <row r="51" spans="1:26" s="125" customFormat="1" x14ac:dyDescent="0.25">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0</v>
      </c>
      <c r="N51" s="225">
        <f t="shared" si="21"/>
        <v>0</v>
      </c>
      <c r="O51" s="225">
        <f t="shared" si="21"/>
        <v>0</v>
      </c>
      <c r="P51" s="225">
        <f t="shared" si="21"/>
        <v>0</v>
      </c>
      <c r="Q51" s="225">
        <f t="shared" si="21"/>
        <v>0</v>
      </c>
      <c r="R51" s="225">
        <f t="shared" si="21"/>
        <v>0</v>
      </c>
      <c r="S51" s="126"/>
      <c r="T51" s="126"/>
      <c r="U51" s="126"/>
      <c r="V51" s="126"/>
      <c r="W51" s="126"/>
      <c r="X51" s="126"/>
      <c r="Y51" s="126"/>
      <c r="Z51" s="126"/>
    </row>
    <row r="52" spans="1:26" s="125" customFormat="1" x14ac:dyDescent="0.25">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0</v>
      </c>
      <c r="N52" s="225">
        <f t="shared" si="22"/>
        <v>0</v>
      </c>
      <c r="O52" s="225">
        <f t="shared" si="22"/>
        <v>0</v>
      </c>
      <c r="P52" s="225">
        <f t="shared" si="22"/>
        <v>0</v>
      </c>
      <c r="Q52" s="225">
        <f t="shared" si="22"/>
        <v>0</v>
      </c>
      <c r="R52" s="225">
        <f t="shared" si="22"/>
        <v>0</v>
      </c>
      <c r="S52" s="126"/>
      <c r="T52" s="126"/>
      <c r="U52" s="126"/>
      <c r="V52" s="126"/>
      <c r="W52" s="126"/>
      <c r="X52" s="126"/>
      <c r="Y52" s="126"/>
      <c r="Z52" s="126"/>
    </row>
    <row r="53" spans="1:26" s="125" customFormat="1" x14ac:dyDescent="0.25">
      <c r="A53" s="210"/>
      <c r="B53" s="204"/>
      <c r="C53" s="205"/>
      <c r="D53" s="211"/>
      <c r="E53" s="213" t="s">
        <v>146</v>
      </c>
      <c r="G53" s="125" t="str">
        <f xml:space="preserve"> G$48</f>
        <v>£m</v>
      </c>
      <c r="H53" s="225">
        <f>SUM(J53:R53)</f>
        <v>0</v>
      </c>
      <c r="I53" s="225"/>
      <c r="J53" s="225">
        <f t="shared" ref="J53:R53" si="23">SUM(J51:J52)</f>
        <v>0</v>
      </c>
      <c r="K53" s="225">
        <f t="shared" si="23"/>
        <v>0</v>
      </c>
      <c r="L53" s="225">
        <f>SUM(L51:L52)</f>
        <v>0</v>
      </c>
      <c r="M53" s="226">
        <f t="shared" si="23"/>
        <v>0</v>
      </c>
      <c r="N53" s="226">
        <f t="shared" si="23"/>
        <v>0</v>
      </c>
      <c r="O53" s="225">
        <f t="shared" si="23"/>
        <v>0</v>
      </c>
      <c r="P53" s="225">
        <f t="shared" si="23"/>
        <v>0</v>
      </c>
      <c r="Q53" s="225">
        <f t="shared" si="23"/>
        <v>0</v>
      </c>
      <c r="R53" s="225">
        <f t="shared" si="23"/>
        <v>0</v>
      </c>
      <c r="S53" s="126"/>
      <c r="T53" s="126"/>
      <c r="U53" s="126"/>
      <c r="V53" s="126"/>
      <c r="W53" s="126"/>
      <c r="X53" s="126"/>
      <c r="Y53" s="126"/>
      <c r="Z53" s="126"/>
    </row>
    <row r="55" spans="1:26" x14ac:dyDescent="0.25">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25">
      <c r="M56" s="218"/>
      <c r="N56" s="218"/>
      <c r="O56" s="218"/>
      <c r="P56" s="218"/>
      <c r="Q56" s="218"/>
    </row>
    <row r="57" spans="1:26" x14ac:dyDescent="0.25">
      <c r="C57" s="144" t="s">
        <v>260</v>
      </c>
      <c r="M57" s="218"/>
      <c r="N57" s="218"/>
      <c r="O57" s="218"/>
      <c r="P57" s="218"/>
      <c r="Q57" s="218"/>
    </row>
    <row r="58" spans="1:26" x14ac:dyDescent="0.25">
      <c r="C58" s="144" t="s">
        <v>261</v>
      </c>
      <c r="M58" s="218"/>
      <c r="N58" s="218"/>
      <c r="O58" s="218"/>
      <c r="P58" s="218"/>
      <c r="Q58" s="218"/>
    </row>
    <row r="59" spans="1:26" x14ac:dyDescent="0.25">
      <c r="C59" s="144" t="s">
        <v>262</v>
      </c>
      <c r="M59" s="218"/>
      <c r="N59" s="218"/>
      <c r="O59" s="218"/>
      <c r="P59" s="218"/>
      <c r="Q59" s="218"/>
    </row>
    <row r="60" spans="1:26" x14ac:dyDescent="0.25">
      <c r="M60" s="218"/>
      <c r="N60" s="218"/>
      <c r="O60" s="218"/>
      <c r="P60" s="218"/>
      <c r="Q60" s="218"/>
    </row>
    <row r="61" spans="1:26" s="125" customFormat="1" x14ac:dyDescent="0.25">
      <c r="A61" s="210"/>
      <c r="B61" s="204"/>
      <c r="C61" s="205"/>
      <c r="D61" s="211"/>
      <c r="E61" s="213" t="s">
        <v>148</v>
      </c>
      <c r="G61" s="125" t="s">
        <v>88</v>
      </c>
      <c r="J61" s="225">
        <f t="shared" ref="J61:R61" si="24" xml:space="preserve"> J53</f>
        <v>0</v>
      </c>
      <c r="K61" s="225">
        <f t="shared" si="24"/>
        <v>0</v>
      </c>
      <c r="L61" s="225">
        <f t="shared" si="24"/>
        <v>0</v>
      </c>
      <c r="M61" s="225">
        <f t="shared" si="24"/>
        <v>0</v>
      </c>
      <c r="N61" s="225">
        <f t="shared" si="24"/>
        <v>0</v>
      </c>
      <c r="O61" s="225">
        <f t="shared" si="24"/>
        <v>0</v>
      </c>
      <c r="P61" s="225">
        <f t="shared" si="24"/>
        <v>0</v>
      </c>
      <c r="Q61" s="225">
        <f t="shared" si="24"/>
        <v>0</v>
      </c>
      <c r="R61" s="225">
        <f t="shared" si="24"/>
        <v>0</v>
      </c>
      <c r="S61" s="126"/>
      <c r="T61" s="126"/>
      <c r="U61" s="126"/>
      <c r="V61" s="126"/>
      <c r="W61" s="126"/>
      <c r="X61" s="126"/>
      <c r="Y61" s="126"/>
      <c r="Z61" s="126"/>
    </row>
    <row r="62" spans="1:26" x14ac:dyDescent="0.25">
      <c r="L62" s="299"/>
      <c r="M62" s="341"/>
      <c r="N62" s="341"/>
      <c r="O62" s="341"/>
      <c r="P62" s="341"/>
      <c r="Q62" s="341"/>
      <c r="R62" s="299"/>
    </row>
    <row r="63" spans="1:26" x14ac:dyDescent="0.25">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25">
      <c r="C65" s="144" t="s">
        <v>263</v>
      </c>
    </row>
    <row r="67" spans="1:16383" x14ac:dyDescent="0.25">
      <c r="B67" s="80" t="s">
        <v>149</v>
      </c>
    </row>
    <row r="68" spans="1:16383" s="253" customFormat="1" x14ac:dyDescent="0.25">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5">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9.9975945132209088E-3</v>
      </c>
      <c r="Q69" s="253">
        <f>Index!Q$135</f>
        <v>9.9706606165028688E-3</v>
      </c>
      <c r="R69" s="253">
        <f>Index!R$135</f>
        <v>9.9999999999997868E-3</v>
      </c>
    </row>
    <row r="70" spans="1:16383" s="213" customFormat="1" x14ac:dyDescent="0.25">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3.0997594513221483E-2</v>
      </c>
      <c r="Q70" s="213">
        <f t="shared" si="26"/>
        <v>3.0970660616504109E-2</v>
      </c>
      <c r="R70" s="213">
        <f t="shared" si="26"/>
        <v>2.9999999999998916E-2</v>
      </c>
      <c r="S70" s="218"/>
      <c r="T70" s="218"/>
      <c r="U70" s="218"/>
      <c r="V70" s="218"/>
      <c r="W70" s="218"/>
      <c r="X70" s="218"/>
      <c r="Y70" s="218"/>
      <c r="Z70" s="218"/>
    </row>
    <row r="71" spans="1:16383" s="213" customFormat="1" x14ac:dyDescent="0.25">
      <c r="A71" s="214"/>
      <c r="B71" s="215"/>
      <c r="C71" s="216"/>
      <c r="D71" s="217"/>
      <c r="S71" s="218"/>
      <c r="T71" s="218"/>
      <c r="U71" s="218"/>
      <c r="V71" s="218"/>
      <c r="W71" s="218"/>
      <c r="X71" s="218"/>
      <c r="Y71" s="218"/>
      <c r="Z71" s="218"/>
    </row>
    <row r="72" spans="1:16383" x14ac:dyDescent="0.25">
      <c r="B72" s="80" t="s">
        <v>151</v>
      </c>
    </row>
    <row r="73" spans="1:16383" s="199" customFormat="1" x14ac:dyDescent="0.25">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0</v>
      </c>
      <c r="N73" s="292">
        <f t="shared" si="27"/>
        <v>0</v>
      </c>
      <c r="O73" s="292">
        <f t="shared" si="27"/>
        <v>0</v>
      </c>
      <c r="P73" s="292">
        <f t="shared" si="27"/>
        <v>0</v>
      </c>
      <c r="Q73" s="292">
        <f t="shared" si="27"/>
        <v>0</v>
      </c>
      <c r="R73" s="292">
        <f t="shared" si="27"/>
        <v>0</v>
      </c>
    </row>
    <row r="74" spans="1:16383" s="213" customFormat="1" x14ac:dyDescent="0.25">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3.0997594513221483E-2</v>
      </c>
      <c r="Q74" s="213">
        <f t="shared" si="28"/>
        <v>3.0970660616504109E-2</v>
      </c>
      <c r="R74" s="213">
        <f t="shared" si="28"/>
        <v>2.9999999999998916E-2</v>
      </c>
      <c r="S74" s="218"/>
      <c r="T74" s="218"/>
      <c r="U74" s="218"/>
      <c r="V74" s="218"/>
      <c r="W74" s="218"/>
      <c r="X74" s="218"/>
      <c r="Y74" s="218"/>
      <c r="Z74" s="218"/>
    </row>
    <row r="75" spans="1:16383" x14ac:dyDescent="0.25">
      <c r="E75" s="56" t="s">
        <v>152</v>
      </c>
      <c r="G75" s="201" t="s">
        <v>88</v>
      </c>
      <c r="J75" s="225">
        <f t="shared" ref="J75:L75" si="29">J73*J74</f>
        <v>0</v>
      </c>
      <c r="K75" s="225">
        <f t="shared" si="29"/>
        <v>0</v>
      </c>
      <c r="L75" s="225">
        <f t="shared" si="29"/>
        <v>0</v>
      </c>
      <c r="M75" s="225">
        <f>M73*M74</f>
        <v>0</v>
      </c>
      <c r="N75" s="225">
        <f t="shared" ref="N75:R75" si="30">N73*N74</f>
        <v>0</v>
      </c>
      <c r="O75" s="225">
        <f t="shared" si="30"/>
        <v>0</v>
      </c>
      <c r="P75" s="225">
        <f t="shared" si="30"/>
        <v>0</v>
      </c>
      <c r="Q75" s="225">
        <f t="shared" si="30"/>
        <v>0</v>
      </c>
      <c r="R75" s="225">
        <f t="shared" si="30"/>
        <v>0</v>
      </c>
    </row>
    <row r="77" spans="1:16383" s="253" customFormat="1" x14ac:dyDescent="0.25">
      <c r="A77" s="249"/>
      <c r="B77" s="250"/>
      <c r="C77" s="251"/>
      <c r="D77" s="252"/>
      <c r="E77" s="49" t="str">
        <f xml:space="preserve"> InpR!E$98</f>
        <v>Run-off rate - CPI(H) + RPI wedge - active - DMMY</v>
      </c>
      <c r="F77" s="253">
        <f xml:space="preserve"> InpR!F$98</f>
        <v>0</v>
      </c>
      <c r="G77" s="271" t="str">
        <f xml:space="preserve"> InpR!G$98</f>
        <v>%</v>
      </c>
      <c r="H77" s="253" t="str">
        <f xml:space="preserve"> InpR!I$98</f>
        <v>PR19 Financial model, 'F_OutputsMaster' sheet row 966, PR19FM2103POST</v>
      </c>
      <c r="I77" s="253" t="e">
        <f xml:space="preserve"> InpR!#REF!</f>
        <v>#REF!</v>
      </c>
      <c r="J77" s="253">
        <f xml:space="preserve"> InpR!J$98</f>
        <v>0</v>
      </c>
      <c r="K77" s="253">
        <f xml:space="preserve"> InpR!K$98</f>
        <v>0</v>
      </c>
      <c r="L77" s="253">
        <f xml:space="preserve"> InpR!L$98</f>
        <v>0</v>
      </c>
      <c r="M77" s="253">
        <f xml:space="preserve"> InpR!M$98</f>
        <v>0</v>
      </c>
      <c r="N77" s="253">
        <f xml:space="preserve"> InpR!N$98</f>
        <v>0</v>
      </c>
      <c r="O77" s="253">
        <f xml:space="preserve"> InpR!O$98</f>
        <v>0</v>
      </c>
      <c r="P77" s="253">
        <f xml:space="preserve"> InpR!P$98</f>
        <v>0</v>
      </c>
      <c r="Q77" s="253">
        <f xml:space="preserve"> InpR!Q$98</f>
        <v>0</v>
      </c>
      <c r="R77" s="253">
        <f xml:space="preserve"> InpR!R$98</f>
        <v>0</v>
      </c>
    </row>
    <row r="78" spans="1:16383" s="199" customFormat="1" x14ac:dyDescent="0.25">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0</v>
      </c>
      <c r="N78" s="292">
        <f t="shared" si="31"/>
        <v>0</v>
      </c>
      <c r="O78" s="292">
        <f t="shared" si="31"/>
        <v>0</v>
      </c>
      <c r="P78" s="292">
        <f t="shared" si="31"/>
        <v>0</v>
      </c>
      <c r="Q78" s="292">
        <f t="shared" si="31"/>
        <v>0</v>
      </c>
      <c r="R78" s="292">
        <f t="shared" si="31"/>
        <v>0</v>
      </c>
    </row>
    <row r="79" spans="1:16383" x14ac:dyDescent="0.25">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0</v>
      </c>
      <c r="N79" s="225">
        <f t="shared" si="32"/>
        <v>0</v>
      </c>
      <c r="O79" s="225">
        <f t="shared" si="32"/>
        <v>0</v>
      </c>
      <c r="P79" s="225">
        <f t="shared" si="32"/>
        <v>0</v>
      </c>
      <c r="Q79" s="225">
        <f t="shared" si="32"/>
        <v>0</v>
      </c>
      <c r="R79" s="225">
        <f t="shared" si="32"/>
        <v>0</v>
      </c>
    </row>
    <row r="80" spans="1:16383" x14ac:dyDescent="0.25">
      <c r="E80" s="56" t="s">
        <v>153</v>
      </c>
      <c r="F80" s="295"/>
      <c r="G80" s="295" t="s">
        <v>88</v>
      </c>
      <c r="H80" s="295"/>
      <c r="I80" s="295"/>
      <c r="J80" s="225">
        <f t="shared" ref="J80:R80" si="33" xml:space="preserve"> (J78+J79) * J77</f>
        <v>0</v>
      </c>
      <c r="K80" s="225">
        <f t="shared" si="33"/>
        <v>0</v>
      </c>
      <c r="L80" s="225">
        <f t="shared" si="33"/>
        <v>0</v>
      </c>
      <c r="M80" s="225">
        <f t="shared" si="33"/>
        <v>0</v>
      </c>
      <c r="N80" s="225">
        <f xml:space="preserve"> (N78+N79) * N77</f>
        <v>0</v>
      </c>
      <c r="O80" s="225">
        <f t="shared" si="33"/>
        <v>0</v>
      </c>
      <c r="P80" s="225">
        <f t="shared" si="33"/>
        <v>0</v>
      </c>
      <c r="Q80" s="225">
        <f t="shared" si="33"/>
        <v>0</v>
      </c>
      <c r="R80" s="225">
        <f t="shared" si="33"/>
        <v>0</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5">
      <c r="F81" s="304"/>
      <c r="G81" s="304"/>
      <c r="H81" s="304"/>
    </row>
    <row r="82" spans="1:26" s="242" customFormat="1" x14ac:dyDescent="0.25">
      <c r="A82" s="238"/>
      <c r="B82" s="239"/>
      <c r="C82" s="240"/>
      <c r="D82" s="241"/>
      <c r="E82" s="242" t="str">
        <f>InpR!$E$91</f>
        <v>RCV - CPI(H) + RPI wedge initial balance - nominal - DMMY</v>
      </c>
      <c r="F82" s="302">
        <f>InpR!$F$91</f>
        <v>0</v>
      </c>
      <c r="G82" s="301" t="str">
        <f>InpR!$G$91</f>
        <v>£m</v>
      </c>
      <c r="H82" s="303"/>
    </row>
    <row r="83" spans="1:26" s="49" customFormat="1" x14ac:dyDescent="0.25">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5">
      <c r="A84" s="67"/>
      <c r="B84" s="78"/>
      <c r="C84" s="142"/>
      <c r="D84" s="72"/>
      <c r="S84" s="59"/>
      <c r="T84" s="59"/>
      <c r="U84" s="59"/>
      <c r="V84" s="59"/>
      <c r="W84" s="59"/>
      <c r="X84" s="59"/>
      <c r="Y84" s="59"/>
      <c r="Z84" s="59"/>
    </row>
    <row r="85" spans="1:26" s="59" customFormat="1" x14ac:dyDescent="0.25">
      <c r="A85" s="66"/>
      <c r="B85" s="70"/>
      <c r="C85" s="145"/>
      <c r="D85" s="75"/>
      <c r="E85" s="56" t="s">
        <v>154</v>
      </c>
      <c r="G85" s="201" t="s">
        <v>88</v>
      </c>
      <c r="J85" s="293">
        <f t="shared" ref="J85:R85" si="34" xml:space="preserve"> I88</f>
        <v>0</v>
      </c>
      <c r="K85" s="293">
        <f t="shared" si="34"/>
        <v>0</v>
      </c>
      <c r="L85" s="293">
        <f t="shared" si="34"/>
        <v>0</v>
      </c>
      <c r="M85" s="293">
        <f t="shared" si="34"/>
        <v>0</v>
      </c>
      <c r="N85" s="293">
        <f t="shared" si="34"/>
        <v>0</v>
      </c>
      <c r="O85" s="293">
        <f t="shared" si="34"/>
        <v>0</v>
      </c>
      <c r="P85" s="293">
        <f t="shared" si="34"/>
        <v>0</v>
      </c>
      <c r="Q85" s="293">
        <f t="shared" si="34"/>
        <v>0</v>
      </c>
      <c r="R85" s="293">
        <f t="shared" si="34"/>
        <v>0</v>
      </c>
    </row>
    <row r="86" spans="1:26" s="59" customFormat="1" x14ac:dyDescent="0.25">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0</v>
      </c>
      <c r="N86" s="293">
        <f t="shared" si="35"/>
        <v>0</v>
      </c>
      <c r="O86" s="293">
        <f t="shared" si="35"/>
        <v>0</v>
      </c>
      <c r="P86" s="293">
        <f t="shared" si="35"/>
        <v>0</v>
      </c>
      <c r="Q86" s="293">
        <f t="shared" si="35"/>
        <v>0</v>
      </c>
      <c r="R86" s="293">
        <f t="shared" si="35"/>
        <v>0</v>
      </c>
    </row>
    <row r="87" spans="1:26" s="59" customFormat="1" x14ac:dyDescent="0.25">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0</v>
      </c>
      <c r="N87" s="293">
        <f t="shared" si="36"/>
        <v>0</v>
      </c>
      <c r="O87" s="293">
        <f t="shared" si="36"/>
        <v>0</v>
      </c>
      <c r="P87" s="293">
        <f t="shared" si="36"/>
        <v>0</v>
      </c>
      <c r="Q87" s="293">
        <f t="shared" si="36"/>
        <v>0</v>
      </c>
      <c r="R87" s="293">
        <f t="shared" si="36"/>
        <v>0</v>
      </c>
    </row>
    <row r="88" spans="1:26" s="173" customFormat="1" x14ac:dyDescent="0.25">
      <c r="A88" s="169"/>
      <c r="B88" s="170"/>
      <c r="C88" s="171"/>
      <c r="D88" s="172"/>
      <c r="E88" s="173" t="s">
        <v>155</v>
      </c>
      <c r="G88" s="202" t="s">
        <v>88</v>
      </c>
      <c r="J88" s="294">
        <f t="shared" ref="J88:R88" si="37" xml:space="preserve"> IF( J83 = 1, $F82, J85 + J86 - J87)</f>
        <v>0</v>
      </c>
      <c r="K88" s="294">
        <f t="shared" si="37"/>
        <v>0</v>
      </c>
      <c r="L88" s="294">
        <f t="shared" si="37"/>
        <v>0</v>
      </c>
      <c r="M88" s="294">
        <f t="shared" si="37"/>
        <v>0</v>
      </c>
      <c r="N88" s="294">
        <f t="shared" si="37"/>
        <v>0</v>
      </c>
      <c r="O88" s="294">
        <f t="shared" si="37"/>
        <v>0</v>
      </c>
      <c r="P88" s="294">
        <f t="shared" si="37"/>
        <v>0</v>
      </c>
      <c r="Q88" s="294">
        <f t="shared" si="37"/>
        <v>0</v>
      </c>
      <c r="R88" s="294">
        <f t="shared" si="37"/>
        <v>0</v>
      </c>
    </row>
    <row r="90" spans="1:26" s="126" customFormat="1" x14ac:dyDescent="0.25">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0</v>
      </c>
      <c r="N90" s="226">
        <f t="shared" si="38"/>
        <v>0</v>
      </c>
      <c r="O90" s="226">
        <f t="shared" si="38"/>
        <v>0</v>
      </c>
      <c r="P90" s="226">
        <f t="shared" si="38"/>
        <v>0</v>
      </c>
      <c r="Q90" s="226">
        <f t="shared" si="38"/>
        <v>0</v>
      </c>
      <c r="R90" s="226">
        <f t="shared" si="38"/>
        <v>0</v>
      </c>
    </row>
    <row r="91" spans="1:26" s="126" customFormat="1" x14ac:dyDescent="0.25">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0</v>
      </c>
      <c r="N91" s="293">
        <f t="shared" si="39"/>
        <v>0</v>
      </c>
      <c r="O91" s="293">
        <f t="shared" si="39"/>
        <v>0</v>
      </c>
      <c r="P91" s="293">
        <f t="shared" si="39"/>
        <v>0</v>
      </c>
      <c r="Q91" s="293">
        <f t="shared" si="39"/>
        <v>0</v>
      </c>
      <c r="R91" s="293">
        <f t="shared" si="39"/>
        <v>0</v>
      </c>
    </row>
    <row r="92" spans="1:26" s="126" customFormat="1" x14ac:dyDescent="0.25">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0</v>
      </c>
      <c r="M92" s="226">
        <f t="shared" si="40"/>
        <v>0</v>
      </c>
      <c r="N92" s="226">
        <f t="shared" si="40"/>
        <v>0</v>
      </c>
      <c r="O92" s="226">
        <f t="shared" si="40"/>
        <v>0</v>
      </c>
      <c r="P92" s="226">
        <f t="shared" si="40"/>
        <v>0</v>
      </c>
      <c r="Q92" s="226">
        <f t="shared" si="40"/>
        <v>0</v>
      </c>
      <c r="R92" s="226">
        <f t="shared" si="40"/>
        <v>0</v>
      </c>
    </row>
    <row r="93" spans="1:26" s="60" customFormat="1" x14ac:dyDescent="0.25">
      <c r="A93" s="68"/>
      <c r="B93" s="80"/>
      <c r="C93" s="144"/>
      <c r="D93" s="76"/>
      <c r="E93" s="56" t="s">
        <v>173</v>
      </c>
      <c r="G93" s="126" t="s">
        <v>88</v>
      </c>
      <c r="H93" s="296"/>
      <c r="I93" s="296"/>
      <c r="J93" s="226">
        <f t="shared" ref="J93:K93" si="41" xml:space="preserve"> ( (J90+J91) + J92) / 2</f>
        <v>0</v>
      </c>
      <c r="K93" s="226">
        <f t="shared" si="41"/>
        <v>0</v>
      </c>
      <c r="L93" s="226">
        <f xml:space="preserve"> ( (L90+L91) + L92) / 2</f>
        <v>0</v>
      </c>
      <c r="M93" s="226">
        <f xml:space="preserve"> ( (M90+M91) + M92) / 2</f>
        <v>0</v>
      </c>
      <c r="N93" s="226">
        <f t="shared" ref="N93:P93" si="42" xml:space="preserve"> ( (N90+N91) + N92) / 2</f>
        <v>0</v>
      </c>
      <c r="O93" s="226">
        <f t="shared" si="42"/>
        <v>0</v>
      </c>
      <c r="P93" s="226">
        <f t="shared" si="42"/>
        <v>0</v>
      </c>
      <c r="Q93" s="226">
        <f xml:space="preserve"> ( (Q90+Q91) + Q92) / 2</f>
        <v>0</v>
      </c>
      <c r="R93" s="226">
        <f t="shared" ref="R93" si="43" xml:space="preserve"> ( (R90+R91) + R92) / 2</f>
        <v>0</v>
      </c>
    </row>
    <row r="94" spans="1:26" s="60" customFormat="1" x14ac:dyDescent="0.25">
      <c r="A94" s="68"/>
      <c r="B94" s="80"/>
      <c r="C94" s="144"/>
      <c r="D94" s="76"/>
      <c r="J94" s="126"/>
      <c r="K94" s="126"/>
      <c r="L94" s="126"/>
      <c r="M94" s="126"/>
      <c r="N94" s="126"/>
      <c r="O94" s="126"/>
      <c r="P94" s="126"/>
      <c r="Q94" s="126"/>
      <c r="R94" s="126"/>
    </row>
    <row r="95" spans="1:26" x14ac:dyDescent="0.25">
      <c r="B95" s="80" t="s">
        <v>156</v>
      </c>
    </row>
    <row r="96" spans="1:26" s="253" customFormat="1" x14ac:dyDescent="0.25">
      <c r="A96" s="249"/>
      <c r="B96" s="250"/>
      <c r="C96" s="251"/>
      <c r="D96" s="252"/>
      <c r="E96" s="253" t="str">
        <f xml:space="preserve"> InpR!E$105</f>
        <v>WACC on RCV - CPI(H) + RPI wedge bf and additions - DMMY</v>
      </c>
      <c r="F96" s="253">
        <f xml:space="preserve"> InpR!F$105</f>
        <v>0</v>
      </c>
      <c r="G96" s="271" t="str">
        <f xml:space="preserve"> InpR!G$105</f>
        <v>%</v>
      </c>
      <c r="H96" s="253" t="str">
        <f xml:space="preserve"> InpR!I$105</f>
        <v>PR19 Financial model, 'Dummy Control' sheet row 980</v>
      </c>
      <c r="I96" s="253" t="e">
        <f xml:space="preserve"> InpR!#REF!</f>
        <v>#REF!</v>
      </c>
      <c r="J96" s="253">
        <f xml:space="preserve"> InpR!J$105</f>
        <v>0</v>
      </c>
      <c r="K96" s="253">
        <f xml:space="preserve"> InpR!K$105</f>
        <v>0</v>
      </c>
      <c r="L96" s="253">
        <f xml:space="preserve"> InpR!L$105</f>
        <v>0</v>
      </c>
      <c r="M96" s="253">
        <f xml:space="preserve"> InpR!M$105</f>
        <v>0</v>
      </c>
      <c r="N96" s="253">
        <f xml:space="preserve"> InpR!N$105</f>
        <v>0</v>
      </c>
      <c r="O96" s="253">
        <f xml:space="preserve"> InpR!O$105</f>
        <v>0</v>
      </c>
      <c r="P96" s="253">
        <f xml:space="preserve"> InpR!P$105</f>
        <v>0</v>
      </c>
      <c r="Q96" s="253">
        <f xml:space="preserve"> InpR!Q$105</f>
        <v>0</v>
      </c>
      <c r="R96" s="253">
        <f xml:space="preserve"> InpR!R$105</f>
        <v>0</v>
      </c>
    </row>
    <row r="97" spans="1:26" s="126" customFormat="1" x14ac:dyDescent="0.25">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5">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0</v>
      </c>
      <c r="M98" s="225">
        <f t="shared" si="44"/>
        <v>0</v>
      </c>
      <c r="N98" s="225">
        <f t="shared" si="44"/>
        <v>0</v>
      </c>
      <c r="O98" s="225">
        <f t="shared" si="44"/>
        <v>0</v>
      </c>
      <c r="P98" s="225">
        <f t="shared" si="44"/>
        <v>0</v>
      </c>
      <c r="Q98" s="225">
        <f t="shared" si="44"/>
        <v>0</v>
      </c>
      <c r="R98" s="225">
        <f t="shared" si="44"/>
        <v>0</v>
      </c>
    </row>
    <row r="99" spans="1:26" x14ac:dyDescent="0.25">
      <c r="E99" s="56" t="s">
        <v>157</v>
      </c>
      <c r="F99" s="295"/>
      <c r="G99" s="225" t="s">
        <v>88</v>
      </c>
      <c r="H99" s="295"/>
      <c r="I99" s="295"/>
      <c r="J99" s="295">
        <f t="shared" ref="J99:K99" si="45">J96*J97*J98</f>
        <v>0</v>
      </c>
      <c r="K99" s="295">
        <f t="shared" si="45"/>
        <v>0</v>
      </c>
      <c r="L99" s="295">
        <f>L96*L97*L98</f>
        <v>0</v>
      </c>
      <c r="M99" s="295">
        <f>M96*M97*M98</f>
        <v>0</v>
      </c>
      <c r="N99" s="295">
        <f t="shared" ref="N99:R99" si="46">N96*N97*N98</f>
        <v>0</v>
      </c>
      <c r="O99" s="295">
        <f t="shared" si="46"/>
        <v>0</v>
      </c>
      <c r="P99" s="295">
        <f t="shared" si="46"/>
        <v>0</v>
      </c>
      <c r="Q99" s="295">
        <f t="shared" si="46"/>
        <v>0</v>
      </c>
      <c r="R99" s="295">
        <f t="shared" si="46"/>
        <v>0</v>
      </c>
    </row>
    <row r="101" spans="1:26" x14ac:dyDescent="0.25">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5">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0</v>
      </c>
      <c r="M102" s="226">
        <f t="shared" si="47"/>
        <v>0</v>
      </c>
      <c r="N102" s="226">
        <f t="shared" si="47"/>
        <v>0</v>
      </c>
      <c r="O102" s="226">
        <f t="shared" si="47"/>
        <v>0</v>
      </c>
      <c r="P102" s="226">
        <f t="shared" si="47"/>
        <v>0</v>
      </c>
      <c r="Q102" s="226">
        <f t="shared" si="47"/>
        <v>0</v>
      </c>
      <c r="R102" s="226">
        <f t="shared" si="47"/>
        <v>0</v>
      </c>
    </row>
    <row r="103" spans="1:26" x14ac:dyDescent="0.25">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0</v>
      </c>
      <c r="R103" s="225">
        <f t="shared" si="48"/>
        <v>0</v>
      </c>
    </row>
    <row r="104" spans="1:26" x14ac:dyDescent="0.25">
      <c r="J104" s="125"/>
      <c r="K104" s="125"/>
      <c r="L104" s="125"/>
      <c r="M104" s="125"/>
      <c r="N104" s="125"/>
      <c r="O104" s="125"/>
      <c r="P104" s="125"/>
      <c r="Q104" s="125"/>
      <c r="R104" s="125"/>
    </row>
    <row r="105" spans="1:26" x14ac:dyDescent="0.25">
      <c r="B105" s="80" t="s">
        <v>158</v>
      </c>
    </row>
    <row r="106" spans="1:26" x14ac:dyDescent="0.25">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0</v>
      </c>
      <c r="N106" s="225">
        <f t="shared" si="49"/>
        <v>0</v>
      </c>
      <c r="O106" s="225">
        <f t="shared" si="49"/>
        <v>0</v>
      </c>
      <c r="P106" s="225">
        <f t="shared" si="49"/>
        <v>0</v>
      </c>
      <c r="Q106" s="225">
        <f t="shared" si="49"/>
        <v>0</v>
      </c>
      <c r="R106" s="225">
        <f t="shared" si="49"/>
        <v>0</v>
      </c>
    </row>
    <row r="107" spans="1:26" s="125" customFormat="1" x14ac:dyDescent="0.25">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0</v>
      </c>
      <c r="N107" s="225">
        <f t="shared" si="50"/>
        <v>0</v>
      </c>
      <c r="O107" s="225">
        <f t="shared" si="50"/>
        <v>0</v>
      </c>
      <c r="P107" s="225">
        <f t="shared" si="50"/>
        <v>0</v>
      </c>
      <c r="Q107" s="225">
        <f t="shared" si="50"/>
        <v>0</v>
      </c>
      <c r="R107" s="225">
        <f t="shared" si="50"/>
        <v>0</v>
      </c>
      <c r="S107" s="126"/>
      <c r="T107" s="126"/>
      <c r="U107" s="126"/>
      <c r="V107" s="126"/>
      <c r="W107" s="126"/>
      <c r="X107" s="126"/>
      <c r="Y107" s="126"/>
      <c r="Z107" s="126"/>
    </row>
    <row r="108" spans="1:26" x14ac:dyDescent="0.25">
      <c r="E108" s="56" t="s">
        <v>266</v>
      </c>
      <c r="F108" s="295"/>
      <c r="G108" s="225" t="str">
        <f t="shared" si="50"/>
        <v>£m</v>
      </c>
      <c r="H108" s="295">
        <f>SUM(J108:R108)</f>
        <v>0</v>
      </c>
      <c r="I108" s="295"/>
      <c r="J108" s="295">
        <f t="shared" ref="J108:R108" si="51">SUM(J106:J107)</f>
        <v>0</v>
      </c>
      <c r="K108" s="295">
        <f t="shared" si="51"/>
        <v>0</v>
      </c>
      <c r="L108" s="295">
        <f t="shared" si="51"/>
        <v>0</v>
      </c>
      <c r="M108" s="295">
        <f t="shared" si="51"/>
        <v>0</v>
      </c>
      <c r="N108" s="295">
        <f t="shared" si="51"/>
        <v>0</v>
      </c>
      <c r="O108" s="295">
        <f t="shared" si="51"/>
        <v>0</v>
      </c>
      <c r="P108" s="295">
        <f t="shared" si="51"/>
        <v>0</v>
      </c>
      <c r="Q108" s="295">
        <f t="shared" si="51"/>
        <v>0</v>
      </c>
      <c r="R108" s="295">
        <f t="shared" si="51"/>
        <v>0</v>
      </c>
    </row>
    <row r="110" spans="1:26" x14ac:dyDescent="0.25">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25">
      <c r="C112" s="144" t="s">
        <v>265</v>
      </c>
    </row>
    <row r="114" spans="1:26" x14ac:dyDescent="0.25">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0</v>
      </c>
      <c r="N114" s="225">
        <f t="shared" si="52"/>
        <v>0</v>
      </c>
      <c r="O114" s="225">
        <f t="shared" si="52"/>
        <v>0</v>
      </c>
      <c r="P114" s="225">
        <f t="shared" si="52"/>
        <v>0</v>
      </c>
      <c r="Q114" s="225">
        <f t="shared" si="52"/>
        <v>0</v>
      </c>
      <c r="R114" s="225">
        <f xml:space="preserve"> R$61</f>
        <v>0</v>
      </c>
    </row>
    <row r="115" spans="1:26" x14ac:dyDescent="0.25">
      <c r="E115" s="56" t="str">
        <f t="shared" ref="E115:R115" si="53" xml:space="preserve"> E$108</f>
        <v>Total nominal revenue company should have received</v>
      </c>
      <c r="F115" s="225">
        <f t="shared" si="53"/>
        <v>0</v>
      </c>
      <c r="G115" s="225" t="str">
        <f t="shared" si="53"/>
        <v>£m</v>
      </c>
      <c r="H115" s="225">
        <f t="shared" si="53"/>
        <v>0</v>
      </c>
      <c r="I115" s="225">
        <f t="shared" si="53"/>
        <v>0</v>
      </c>
      <c r="J115" s="225">
        <f t="shared" si="53"/>
        <v>0</v>
      </c>
      <c r="K115" s="225">
        <f t="shared" si="53"/>
        <v>0</v>
      </c>
      <c r="L115" s="225">
        <f t="shared" si="53"/>
        <v>0</v>
      </c>
      <c r="M115" s="225">
        <f t="shared" si="53"/>
        <v>0</v>
      </c>
      <c r="N115" s="225">
        <f t="shared" si="53"/>
        <v>0</v>
      </c>
      <c r="O115" s="225">
        <f t="shared" si="53"/>
        <v>0</v>
      </c>
      <c r="P115" s="225">
        <f t="shared" si="53"/>
        <v>0</v>
      </c>
      <c r="Q115" s="225">
        <f t="shared" si="53"/>
        <v>0</v>
      </c>
      <c r="R115" s="225">
        <f t="shared" si="53"/>
        <v>0</v>
      </c>
    </row>
    <row r="116" spans="1:26" s="225" customFormat="1" x14ac:dyDescent="0.25">
      <c r="A116" s="221"/>
      <c r="B116" s="222"/>
      <c r="C116" s="223"/>
      <c r="D116" s="224"/>
      <c r="E116" s="56" t="s">
        <v>267</v>
      </c>
      <c r="G116" s="225" t="str">
        <f t="shared" ref="G116" si="54" xml:space="preserve"> G$99</f>
        <v>£m</v>
      </c>
      <c r="H116" s="295">
        <f>SUM(J116:R116)</f>
        <v>0</v>
      </c>
      <c r="M116" s="225">
        <f>M115-M114</f>
        <v>0</v>
      </c>
      <c r="N116" s="225">
        <f t="shared" ref="N116:Q116" si="55">N115-N114</f>
        <v>0</v>
      </c>
      <c r="O116" s="225">
        <f t="shared" si="55"/>
        <v>0</v>
      </c>
      <c r="P116" s="225">
        <f t="shared" si="55"/>
        <v>0</v>
      </c>
      <c r="Q116" s="225">
        <f t="shared" si="55"/>
        <v>0</v>
      </c>
      <c r="S116" s="226"/>
      <c r="T116" s="226"/>
      <c r="U116" s="226"/>
      <c r="V116" s="226"/>
      <c r="W116" s="226"/>
      <c r="X116" s="226"/>
      <c r="Y116" s="226"/>
      <c r="Z116" s="226"/>
    </row>
    <row r="118" spans="1:26" x14ac:dyDescent="0.25">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25">
      <c r="C120" s="144" t="s">
        <v>264</v>
      </c>
    </row>
    <row r="121" spans="1:26" x14ac:dyDescent="0.25">
      <c r="C121" s="144" t="s">
        <v>159</v>
      </c>
    </row>
    <row r="122" spans="1:26" x14ac:dyDescent="0.25">
      <c r="C122" s="144" t="s">
        <v>160</v>
      </c>
    </row>
    <row r="124" spans="1:26" s="253" customFormat="1" x14ac:dyDescent="0.25">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5">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5">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25">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0</v>
      </c>
      <c r="N128" s="297">
        <f t="shared" si="58"/>
        <v>0</v>
      </c>
      <c r="O128" s="297">
        <f t="shared" si="58"/>
        <v>0</v>
      </c>
      <c r="P128" s="297">
        <f t="shared" si="58"/>
        <v>0</v>
      </c>
      <c r="Q128" s="297">
        <f t="shared" si="58"/>
        <v>0</v>
      </c>
      <c r="R128" s="297">
        <f t="shared" si="58"/>
        <v>0</v>
      </c>
    </row>
    <row r="129" spans="1:16383" x14ac:dyDescent="0.25">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25">
      <c r="A130" s="89"/>
      <c r="B130" s="95"/>
      <c r="C130" s="332"/>
      <c r="D130" s="91"/>
      <c r="E130" s="56" t="s">
        <v>162</v>
      </c>
      <c r="G130" s="125" t="s">
        <v>88</v>
      </c>
      <c r="J130" s="298">
        <f>J128*J129</f>
        <v>0</v>
      </c>
      <c r="K130" s="298">
        <f t="shared" ref="K130:L130" si="60">K128*K129</f>
        <v>0</v>
      </c>
      <c r="L130" s="298">
        <f t="shared" si="60"/>
        <v>0</v>
      </c>
      <c r="M130" s="298">
        <f>M128*M129</f>
        <v>0</v>
      </c>
      <c r="N130" s="298">
        <f t="shared" ref="N130:R130" si="61">N128*N129</f>
        <v>0</v>
      </c>
      <c r="O130" s="298">
        <f t="shared" si="61"/>
        <v>0</v>
      </c>
      <c r="P130" s="298">
        <f t="shared" si="61"/>
        <v>0</v>
      </c>
      <c r="Q130" s="298">
        <f t="shared" si="61"/>
        <v>0</v>
      </c>
      <c r="R130" s="298">
        <f t="shared" si="61"/>
        <v>0</v>
      </c>
    </row>
    <row r="132" spans="1:16383" s="253" customFormat="1" x14ac:dyDescent="0.25">
      <c r="A132" s="249"/>
      <c r="B132" s="250"/>
      <c r="C132" s="251"/>
      <c r="D132" s="252"/>
      <c r="E132" s="49" t="str">
        <f xml:space="preserve"> InpR!E$98</f>
        <v>Run-off rate - CPI(H) + RPI wedge - active - DMMY</v>
      </c>
      <c r="F132" s="253">
        <f xml:space="preserve"> InpR!F$98</f>
        <v>0</v>
      </c>
      <c r="G132" s="271" t="str">
        <f xml:space="preserve"> InpR!G$98</f>
        <v>%</v>
      </c>
      <c r="H132" s="253" t="str">
        <f xml:space="preserve"> InpR!I$98</f>
        <v>PR19 Financial model, 'F_OutputsMaster' sheet row 966, PR19FM2103POST</v>
      </c>
      <c r="I132" s="253" t="e">
        <f xml:space="preserve"> InpR!#REF!</f>
        <v>#REF!</v>
      </c>
      <c r="J132" s="253">
        <f xml:space="preserve"> InpR!J$98</f>
        <v>0</v>
      </c>
      <c r="K132" s="253">
        <f xml:space="preserve"> InpR!K$98</f>
        <v>0</v>
      </c>
      <c r="L132" s="253">
        <f xml:space="preserve"> InpR!L$98</f>
        <v>0</v>
      </c>
      <c r="M132" s="253">
        <f xml:space="preserve"> InpR!M$98</f>
        <v>0</v>
      </c>
      <c r="N132" s="253">
        <f xml:space="preserve"> InpR!N$98</f>
        <v>0</v>
      </c>
      <c r="O132" s="253">
        <f xml:space="preserve"> InpR!O$98</f>
        <v>0</v>
      </c>
      <c r="P132" s="253">
        <f xml:space="preserve"> InpR!P$98</f>
        <v>0</v>
      </c>
      <c r="Q132" s="253">
        <f xml:space="preserve"> InpR!Q$98</f>
        <v>0</v>
      </c>
      <c r="R132" s="253">
        <f xml:space="preserve"> InpR!R$98</f>
        <v>0</v>
      </c>
    </row>
    <row r="133" spans="1:16383" s="199" customFormat="1" x14ac:dyDescent="0.25">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0</v>
      </c>
      <c r="N133" s="297">
        <f t="shared" si="62"/>
        <v>0</v>
      </c>
      <c r="O133" s="297">
        <f t="shared" si="62"/>
        <v>0</v>
      </c>
      <c r="P133" s="297">
        <f t="shared" si="62"/>
        <v>0</v>
      </c>
      <c r="Q133" s="297">
        <f t="shared" si="62"/>
        <v>0</v>
      </c>
      <c r="R133" s="297">
        <f t="shared" si="62"/>
        <v>0</v>
      </c>
    </row>
    <row r="134" spans="1:16383" s="125" customFormat="1" x14ac:dyDescent="0.25">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0</v>
      </c>
      <c r="N134" s="298">
        <f t="shared" si="63"/>
        <v>0</v>
      </c>
      <c r="O134" s="298">
        <f t="shared" si="63"/>
        <v>0</v>
      </c>
      <c r="P134" s="298">
        <f t="shared" si="63"/>
        <v>0</v>
      </c>
      <c r="Q134" s="298">
        <f t="shared" si="63"/>
        <v>0</v>
      </c>
      <c r="R134" s="298">
        <f t="shared" si="63"/>
        <v>0</v>
      </c>
      <c r="S134" s="126"/>
      <c r="T134" s="126"/>
      <c r="U134" s="126"/>
      <c r="V134" s="126"/>
      <c r="W134" s="126"/>
      <c r="X134" s="126"/>
      <c r="Y134" s="126"/>
      <c r="Z134" s="126"/>
    </row>
    <row r="135" spans="1:16383" x14ac:dyDescent="0.25">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0</v>
      </c>
      <c r="N135" s="298">
        <f t="shared" si="64"/>
        <v>0</v>
      </c>
      <c r="O135" s="298">
        <f t="shared" si="64"/>
        <v>0</v>
      </c>
      <c r="P135" s="298">
        <f t="shared" si="64"/>
        <v>0</v>
      </c>
      <c r="Q135" s="298">
        <f t="shared" si="64"/>
        <v>0</v>
      </c>
      <c r="R135" s="298">
        <f t="shared" si="64"/>
        <v>0</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5">
      <c r="F136" s="304"/>
      <c r="G136" s="304"/>
      <c r="H136" s="304"/>
    </row>
    <row r="137" spans="1:16383" s="242" customFormat="1" x14ac:dyDescent="0.25">
      <c r="A137" s="238"/>
      <c r="B137" s="239"/>
      <c r="C137" s="240"/>
      <c r="D137" s="241"/>
      <c r="E137" s="242" t="str">
        <f>InpR!$E$91</f>
        <v>RCV - CPI(H) + RPI wedge initial balance - nominal - DMMY</v>
      </c>
      <c r="F137" s="302">
        <f>InpR!$F$91</f>
        <v>0</v>
      </c>
      <c r="G137" s="301" t="str">
        <f>InpR!$G$91</f>
        <v>£m</v>
      </c>
      <c r="H137" s="303"/>
    </row>
    <row r="138" spans="1:16383" s="49" customFormat="1" x14ac:dyDescent="0.25">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5">
      <c r="A139" s="67"/>
      <c r="B139" s="78"/>
      <c r="C139" s="142"/>
      <c r="D139" s="72"/>
      <c r="S139" s="59"/>
      <c r="T139" s="59"/>
      <c r="U139" s="59"/>
      <c r="V139" s="59"/>
      <c r="W139" s="59"/>
      <c r="X139" s="59"/>
      <c r="Y139" s="59"/>
      <c r="Z139" s="59"/>
    </row>
    <row r="140" spans="1:16383" s="59" customFormat="1" x14ac:dyDescent="0.25">
      <c r="A140" s="116"/>
      <c r="B140" s="337"/>
      <c r="C140" s="338"/>
      <c r="D140" s="339"/>
      <c r="E140" s="59" t="s">
        <v>163</v>
      </c>
      <c r="G140" s="201" t="s">
        <v>88</v>
      </c>
      <c r="J140" s="293">
        <f t="shared" ref="J140:R140" si="65" xml:space="preserve"> I143</f>
        <v>0</v>
      </c>
      <c r="K140" s="293">
        <f t="shared" si="65"/>
        <v>0</v>
      </c>
      <c r="L140" s="293">
        <f t="shared" si="65"/>
        <v>0</v>
      </c>
      <c r="M140" s="293">
        <f t="shared" si="65"/>
        <v>0</v>
      </c>
      <c r="N140" s="293">
        <f t="shared" si="65"/>
        <v>0</v>
      </c>
      <c r="O140" s="293">
        <f t="shared" si="65"/>
        <v>0</v>
      </c>
      <c r="P140" s="293">
        <f t="shared" si="65"/>
        <v>0</v>
      </c>
      <c r="Q140" s="293">
        <f t="shared" si="65"/>
        <v>0</v>
      </c>
      <c r="R140" s="293">
        <f t="shared" si="65"/>
        <v>0</v>
      </c>
    </row>
    <row r="141" spans="1:16383" s="59" customFormat="1" x14ac:dyDescent="0.25">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0</v>
      </c>
      <c r="N141" s="293">
        <f t="shared" si="66"/>
        <v>0</v>
      </c>
      <c r="O141" s="293">
        <f t="shared" si="66"/>
        <v>0</v>
      </c>
      <c r="P141" s="293">
        <f t="shared" si="66"/>
        <v>0</v>
      </c>
      <c r="Q141" s="293">
        <f t="shared" si="66"/>
        <v>0</v>
      </c>
      <c r="R141" s="293">
        <f t="shared" si="66"/>
        <v>0</v>
      </c>
    </row>
    <row r="142" spans="1:16383" s="59" customFormat="1" x14ac:dyDescent="0.25">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0</v>
      </c>
      <c r="N142" s="293">
        <f t="shared" si="67"/>
        <v>0</v>
      </c>
      <c r="O142" s="293">
        <f t="shared" si="67"/>
        <v>0</v>
      </c>
      <c r="P142" s="293">
        <f t="shared" si="67"/>
        <v>0</v>
      </c>
      <c r="Q142" s="293">
        <f t="shared" si="67"/>
        <v>0</v>
      </c>
      <c r="R142" s="293">
        <f t="shared" si="67"/>
        <v>0</v>
      </c>
    </row>
    <row r="143" spans="1:16383" s="173" customFormat="1" x14ac:dyDescent="0.25">
      <c r="A143" s="333"/>
      <c r="B143" s="334"/>
      <c r="C143" s="335"/>
      <c r="D143" s="336"/>
      <c r="E143" s="173" t="s">
        <v>164</v>
      </c>
      <c r="G143" s="202" t="s">
        <v>88</v>
      </c>
      <c r="J143" s="294">
        <f t="shared" ref="J143:R143" si="68" xml:space="preserve"> IF( J138 = 1, $F137, J140 + J141 - J142)</f>
        <v>0</v>
      </c>
      <c r="K143" s="294">
        <f t="shared" si="68"/>
        <v>0</v>
      </c>
      <c r="L143" s="294">
        <f t="shared" si="68"/>
        <v>0</v>
      </c>
      <c r="M143" s="294">
        <f t="shared" si="68"/>
        <v>0</v>
      </c>
      <c r="N143" s="294">
        <f t="shared" si="68"/>
        <v>0</v>
      </c>
      <c r="O143" s="294">
        <f t="shared" si="68"/>
        <v>0</v>
      </c>
      <c r="P143" s="294">
        <f t="shared" si="68"/>
        <v>0</v>
      </c>
      <c r="Q143" s="294">
        <f t="shared" si="68"/>
        <v>0</v>
      </c>
      <c r="R143" s="294">
        <f t="shared" si="68"/>
        <v>0</v>
      </c>
    </row>
    <row r="145" spans="1:26" s="126" customFormat="1" x14ac:dyDescent="0.25">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0</v>
      </c>
      <c r="N145" s="226">
        <f t="shared" si="69"/>
        <v>0</v>
      </c>
      <c r="O145" s="226">
        <f t="shared" si="69"/>
        <v>0</v>
      </c>
      <c r="P145" s="226">
        <f t="shared" si="69"/>
        <v>0</v>
      </c>
      <c r="Q145" s="226">
        <f t="shared" si="69"/>
        <v>0</v>
      </c>
      <c r="R145" s="226">
        <f t="shared" si="69"/>
        <v>0</v>
      </c>
    </row>
    <row r="146" spans="1:26" s="125" customFormat="1" x14ac:dyDescent="0.25">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0</v>
      </c>
      <c r="N146" s="225">
        <f t="shared" si="70"/>
        <v>0</v>
      </c>
      <c r="O146" s="225">
        <f t="shared" si="70"/>
        <v>0</v>
      </c>
      <c r="P146" s="225">
        <f t="shared" si="70"/>
        <v>0</v>
      </c>
      <c r="Q146" s="225">
        <f t="shared" si="70"/>
        <v>0</v>
      </c>
      <c r="R146" s="225">
        <f t="shared" si="70"/>
        <v>0</v>
      </c>
      <c r="S146" s="126"/>
      <c r="T146" s="126"/>
      <c r="U146" s="126"/>
      <c r="V146" s="126"/>
      <c r="W146" s="126"/>
      <c r="X146" s="126"/>
      <c r="Y146" s="126"/>
      <c r="Z146" s="126"/>
    </row>
    <row r="147" spans="1:26" s="126" customFormat="1" x14ac:dyDescent="0.25">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0</v>
      </c>
      <c r="M147" s="226">
        <f t="shared" si="71"/>
        <v>0</v>
      </c>
      <c r="N147" s="226">
        <f t="shared" si="71"/>
        <v>0</v>
      </c>
      <c r="O147" s="226">
        <f t="shared" si="71"/>
        <v>0</v>
      </c>
      <c r="P147" s="226">
        <f t="shared" si="71"/>
        <v>0</v>
      </c>
      <c r="Q147" s="226">
        <f t="shared" si="71"/>
        <v>0</v>
      </c>
      <c r="R147" s="226">
        <f t="shared" si="71"/>
        <v>0</v>
      </c>
    </row>
    <row r="148" spans="1:26" s="60" customFormat="1" x14ac:dyDescent="0.25">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0</v>
      </c>
      <c r="M148" s="226">
        <f xml:space="preserve"> ( (M145+M146) + M147) / 2</f>
        <v>0</v>
      </c>
      <c r="N148" s="226">
        <f t="shared" ref="N148:R148" si="73" xml:space="preserve"> ( (N145+N146) + N147) / 2</f>
        <v>0</v>
      </c>
      <c r="O148" s="226">
        <f t="shared" si="73"/>
        <v>0</v>
      </c>
      <c r="P148" s="226">
        <f t="shared" si="73"/>
        <v>0</v>
      </c>
      <c r="Q148" s="226">
        <f t="shared" si="73"/>
        <v>0</v>
      </c>
      <c r="R148" s="226">
        <f t="shared" si="73"/>
        <v>0</v>
      </c>
    </row>
    <row r="150" spans="1:26" s="253" customFormat="1" x14ac:dyDescent="0.25">
      <c r="A150" s="249"/>
      <c r="B150" s="250"/>
      <c r="C150" s="251"/>
      <c r="D150" s="252"/>
      <c r="E150" s="253" t="str">
        <f xml:space="preserve"> InpR!E$105</f>
        <v>WACC on RCV - CPI(H) + RPI wedge bf and additions - DMMY</v>
      </c>
      <c r="F150" s="253">
        <f xml:space="preserve"> InpR!F$105</f>
        <v>0</v>
      </c>
      <c r="G150" s="271" t="str">
        <f xml:space="preserve"> InpR!G$105</f>
        <v>%</v>
      </c>
      <c r="H150" s="253" t="str">
        <f xml:space="preserve"> InpR!I$105</f>
        <v>PR19 Financial model, 'Dummy Control' sheet row 980</v>
      </c>
      <c r="I150" s="253" t="e">
        <f xml:space="preserve"> InpR!#REF!</f>
        <v>#REF!</v>
      </c>
      <c r="J150" s="253">
        <f xml:space="preserve"> InpR!J$105</f>
        <v>0</v>
      </c>
      <c r="K150" s="253">
        <f xml:space="preserve"> InpR!K$105</f>
        <v>0</v>
      </c>
      <c r="L150" s="253">
        <f xml:space="preserve"> InpR!L$105</f>
        <v>0</v>
      </c>
      <c r="M150" s="253">
        <f xml:space="preserve"> InpR!M$105</f>
        <v>0</v>
      </c>
      <c r="N150" s="253">
        <f xml:space="preserve"> InpR!N$105</f>
        <v>0</v>
      </c>
      <c r="O150" s="253">
        <f xml:space="preserve"> InpR!O$105</f>
        <v>0</v>
      </c>
      <c r="P150" s="253">
        <f xml:space="preserve"> InpR!P$105</f>
        <v>0</v>
      </c>
      <c r="Q150" s="253">
        <f xml:space="preserve"> InpR!Q$105</f>
        <v>0</v>
      </c>
      <c r="R150" s="253">
        <f xml:space="preserve"> InpR!R$105</f>
        <v>0</v>
      </c>
    </row>
    <row r="151" spans="1:26" s="126" customFormat="1" x14ac:dyDescent="0.25">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5">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0</v>
      </c>
      <c r="M152" s="298">
        <f t="shared" si="74"/>
        <v>0</v>
      </c>
      <c r="N152" s="298">
        <f t="shared" si="74"/>
        <v>0</v>
      </c>
      <c r="O152" s="298">
        <f t="shared" si="74"/>
        <v>0</v>
      </c>
      <c r="P152" s="298">
        <f t="shared" si="74"/>
        <v>0</v>
      </c>
      <c r="Q152" s="298">
        <f t="shared" si="74"/>
        <v>0</v>
      </c>
      <c r="R152" s="298">
        <f t="shared" si="74"/>
        <v>0</v>
      </c>
    </row>
    <row r="153" spans="1:26" x14ac:dyDescent="0.25">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0</v>
      </c>
      <c r="N153" s="298">
        <f t="shared" si="76"/>
        <v>0</v>
      </c>
      <c r="O153" s="298">
        <f t="shared" si="76"/>
        <v>0</v>
      </c>
      <c r="P153" s="298">
        <f t="shared" si="76"/>
        <v>0</v>
      </c>
      <c r="Q153" s="298">
        <f t="shared" si="76"/>
        <v>0</v>
      </c>
      <c r="R153" s="298">
        <f t="shared" si="76"/>
        <v>0</v>
      </c>
    </row>
    <row r="154" spans="1:26" x14ac:dyDescent="0.25">
      <c r="M154" s="228"/>
      <c r="N154" s="228"/>
      <c r="O154" s="228"/>
      <c r="P154" s="228"/>
      <c r="Q154" s="228"/>
    </row>
    <row r="155" spans="1:26" s="125" customFormat="1" x14ac:dyDescent="0.25">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0</v>
      </c>
      <c r="N155" s="225">
        <f t="shared" si="77"/>
        <v>0</v>
      </c>
      <c r="O155" s="225">
        <f t="shared" si="77"/>
        <v>0</v>
      </c>
      <c r="P155" s="225">
        <f t="shared" si="77"/>
        <v>0</v>
      </c>
      <c r="Q155" s="225">
        <f t="shared" si="77"/>
        <v>0</v>
      </c>
      <c r="R155" s="225">
        <f t="shared" si="77"/>
        <v>0</v>
      </c>
      <c r="S155" s="126"/>
      <c r="T155" s="126"/>
      <c r="U155" s="126"/>
      <c r="V155" s="126"/>
      <c r="W155" s="126"/>
      <c r="X155" s="126"/>
      <c r="Y155" s="126"/>
      <c r="Z155" s="126"/>
    </row>
    <row r="156" spans="1:26" x14ac:dyDescent="0.25">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0</v>
      </c>
      <c r="N156" s="225">
        <f t="shared" si="78"/>
        <v>0</v>
      </c>
      <c r="O156" s="225">
        <f t="shared" si="78"/>
        <v>0</v>
      </c>
      <c r="P156" s="225">
        <f t="shared" si="78"/>
        <v>0</v>
      </c>
      <c r="Q156" s="225">
        <f t="shared" si="78"/>
        <v>0</v>
      </c>
      <c r="R156" s="225">
        <f t="shared" si="78"/>
        <v>0</v>
      </c>
    </row>
    <row r="157" spans="1:26" x14ac:dyDescent="0.25">
      <c r="A157" s="89"/>
      <c r="B157" s="95"/>
      <c r="C157" s="332"/>
      <c r="D157" s="91"/>
      <c r="E157" s="56" t="s">
        <v>321</v>
      </c>
      <c r="F157" s="295"/>
      <c r="G157" s="225" t="str">
        <f t="shared" ref="G157" si="79">G$155</f>
        <v>£m</v>
      </c>
      <c r="H157" s="295">
        <f>SUM(J157:R157)</f>
        <v>0</v>
      </c>
      <c r="I157" s="295"/>
      <c r="J157" s="295">
        <f t="shared" ref="J157:R157" si="80">SUM(J155:J156)</f>
        <v>0</v>
      </c>
      <c r="K157" s="295">
        <f t="shared" si="80"/>
        <v>0</v>
      </c>
      <c r="L157" s="295">
        <f>SUM(L155:L156)</f>
        <v>0</v>
      </c>
      <c r="M157" s="295">
        <f t="shared" si="80"/>
        <v>0</v>
      </c>
      <c r="N157" s="295">
        <f t="shared" si="80"/>
        <v>0</v>
      </c>
      <c r="O157" s="295">
        <f t="shared" si="80"/>
        <v>0</v>
      </c>
      <c r="P157" s="295">
        <f t="shared" si="80"/>
        <v>0</v>
      </c>
      <c r="Q157" s="295">
        <f t="shared" si="80"/>
        <v>0</v>
      </c>
      <c r="R157" s="295">
        <f t="shared" si="80"/>
        <v>0</v>
      </c>
    </row>
    <row r="159" spans="1:26" x14ac:dyDescent="0.25">
      <c r="E159" s="60" t="str">
        <f t="shared" ref="E159:R159" si="81" xml:space="preserve"> E$157</f>
        <v>Total True up Nominal revenue to company</v>
      </c>
      <c r="F159" s="225">
        <f t="shared" si="81"/>
        <v>0</v>
      </c>
      <c r="G159" s="225" t="str">
        <f t="shared" si="81"/>
        <v>£m</v>
      </c>
      <c r="H159" s="225">
        <f t="shared" si="81"/>
        <v>0</v>
      </c>
      <c r="I159" s="225">
        <f t="shared" si="81"/>
        <v>0</v>
      </c>
      <c r="J159" s="225">
        <f t="shared" si="81"/>
        <v>0</v>
      </c>
      <c r="K159" s="225">
        <f t="shared" si="81"/>
        <v>0</v>
      </c>
      <c r="L159" s="225">
        <f t="shared" si="81"/>
        <v>0</v>
      </c>
      <c r="M159" s="225">
        <f t="shared" si="81"/>
        <v>0</v>
      </c>
      <c r="N159" s="225">
        <f t="shared" si="81"/>
        <v>0</v>
      </c>
      <c r="O159" s="225">
        <f t="shared" si="81"/>
        <v>0</v>
      </c>
      <c r="P159" s="225">
        <f t="shared" si="81"/>
        <v>0</v>
      </c>
      <c r="Q159" s="225">
        <f t="shared" si="81"/>
        <v>0</v>
      </c>
      <c r="R159" s="225">
        <f t="shared" si="81"/>
        <v>0</v>
      </c>
    </row>
    <row r="160" spans="1:26" x14ac:dyDescent="0.25">
      <c r="E160" s="60" t="str">
        <f t="shared" ref="E160:R160" si="82" xml:space="preserve"> E$108</f>
        <v>Total nominal revenue company should have received</v>
      </c>
      <c r="F160" s="225">
        <f t="shared" si="82"/>
        <v>0</v>
      </c>
      <c r="G160" s="225" t="str">
        <f t="shared" si="82"/>
        <v>£m</v>
      </c>
      <c r="H160" s="225">
        <f t="shared" si="82"/>
        <v>0</v>
      </c>
      <c r="I160" s="225">
        <f t="shared" si="82"/>
        <v>0</v>
      </c>
      <c r="J160" s="225">
        <f t="shared" si="82"/>
        <v>0</v>
      </c>
      <c r="K160" s="225">
        <f t="shared" si="82"/>
        <v>0</v>
      </c>
      <c r="L160" s="225">
        <f t="shared" si="82"/>
        <v>0</v>
      </c>
      <c r="M160" s="225">
        <f t="shared" si="82"/>
        <v>0</v>
      </c>
      <c r="N160" s="225">
        <f t="shared" si="82"/>
        <v>0</v>
      </c>
      <c r="O160" s="225">
        <f t="shared" si="82"/>
        <v>0</v>
      </c>
      <c r="P160" s="225">
        <f t="shared" si="82"/>
        <v>0</v>
      </c>
      <c r="Q160" s="225">
        <f t="shared" si="82"/>
        <v>0</v>
      </c>
      <c r="R160" s="225">
        <f t="shared" si="82"/>
        <v>0</v>
      </c>
    </row>
    <row r="161" spans="1:16383" s="226" customFormat="1" x14ac:dyDescent="0.25">
      <c r="A161" s="306"/>
      <c r="B161" s="222"/>
      <c r="C161" s="223"/>
      <c r="D161" s="307"/>
      <c r="E161" s="60" t="s">
        <v>268</v>
      </c>
      <c r="G161" s="226" t="str">
        <f t="shared" ref="G161" si="83" xml:space="preserve"> G$153</f>
        <v>£m</v>
      </c>
      <c r="H161" s="226">
        <f xml:space="preserve"> SUM(J161:R161)</f>
        <v>0</v>
      </c>
      <c r="J161" s="226">
        <f t="shared" ref="J161:K161" si="84">J160-J159</f>
        <v>0</v>
      </c>
      <c r="K161" s="226">
        <f t="shared" si="84"/>
        <v>0</v>
      </c>
      <c r="L161" s="226">
        <f>L160-L159</f>
        <v>0</v>
      </c>
      <c r="M161" s="226">
        <f>M160-M159</f>
        <v>0</v>
      </c>
      <c r="N161" s="226">
        <f t="shared" ref="N161:R161" si="85">N160-N159</f>
        <v>0</v>
      </c>
      <c r="O161" s="226">
        <f t="shared" si="85"/>
        <v>0</v>
      </c>
      <c r="P161" s="226">
        <f t="shared" si="85"/>
        <v>0</v>
      </c>
      <c r="Q161" s="226">
        <f t="shared" si="85"/>
        <v>0</v>
      </c>
      <c r="R161" s="226">
        <f t="shared" si="85"/>
        <v>0</v>
      </c>
    </row>
    <row r="163" spans="1:16383" s="125" customFormat="1" x14ac:dyDescent="0.25">
      <c r="A163" s="210"/>
      <c r="B163" s="204"/>
      <c r="C163" s="205"/>
      <c r="D163" s="211"/>
      <c r="E163" s="60" t="str">
        <f t="shared" ref="E163:R163" si="86" xml:space="preserve"> E$161</f>
        <v>Value of True up nominal</v>
      </c>
      <c r="F163" s="300">
        <f t="shared" si="86"/>
        <v>0</v>
      </c>
      <c r="G163" s="300" t="str">
        <f t="shared" si="86"/>
        <v>£m</v>
      </c>
      <c r="H163" s="300">
        <f t="shared" si="86"/>
        <v>0</v>
      </c>
      <c r="I163" s="300">
        <f t="shared" si="86"/>
        <v>0</v>
      </c>
      <c r="J163" s="300">
        <f t="shared" si="86"/>
        <v>0</v>
      </c>
      <c r="K163" s="300">
        <f t="shared" si="86"/>
        <v>0</v>
      </c>
      <c r="L163" s="300">
        <f t="shared" si="86"/>
        <v>0</v>
      </c>
      <c r="M163" s="300">
        <f t="shared" si="86"/>
        <v>0</v>
      </c>
      <c r="N163" s="300">
        <f t="shared" si="86"/>
        <v>0</v>
      </c>
      <c r="O163" s="300">
        <f t="shared" si="86"/>
        <v>0</v>
      </c>
      <c r="P163" s="300">
        <f t="shared" si="86"/>
        <v>0</v>
      </c>
      <c r="Q163" s="300">
        <f t="shared" si="86"/>
        <v>0</v>
      </c>
      <c r="R163" s="300">
        <f t="shared" si="86"/>
        <v>0</v>
      </c>
      <c r="S163" s="126"/>
      <c r="T163" s="126"/>
      <c r="U163" s="126"/>
      <c r="V163" s="126"/>
      <c r="W163" s="126"/>
      <c r="X163" s="126"/>
      <c r="Y163" s="126"/>
      <c r="Z163" s="126"/>
    </row>
    <row r="164" spans="1:16383" s="125" customFormat="1" x14ac:dyDescent="0.25">
      <c r="A164" s="210"/>
      <c r="B164" s="204"/>
      <c r="C164" s="205"/>
      <c r="D164" s="211"/>
      <c r="E164" s="60" t="str">
        <f t="shared" ref="E164:R164" si="87" xml:space="preserve"> E$116</f>
        <v>Difference in nominal revenue</v>
      </c>
      <c r="F164" s="300">
        <f t="shared" si="87"/>
        <v>0</v>
      </c>
      <c r="G164" s="300" t="str">
        <f t="shared" si="87"/>
        <v>£m</v>
      </c>
      <c r="H164" s="300">
        <f t="shared" si="87"/>
        <v>0</v>
      </c>
      <c r="I164" s="300">
        <f t="shared" si="87"/>
        <v>0</v>
      </c>
      <c r="J164" s="300">
        <f t="shared" si="87"/>
        <v>0</v>
      </c>
      <c r="K164" s="300">
        <f t="shared" si="87"/>
        <v>0</v>
      </c>
      <c r="L164" s="300">
        <f t="shared" si="87"/>
        <v>0</v>
      </c>
      <c r="M164" s="300">
        <f t="shared" si="87"/>
        <v>0</v>
      </c>
      <c r="N164" s="300">
        <f t="shared" si="87"/>
        <v>0</v>
      </c>
      <c r="O164" s="300">
        <f t="shared" si="87"/>
        <v>0</v>
      </c>
      <c r="P164" s="300">
        <f t="shared" si="87"/>
        <v>0</v>
      </c>
      <c r="Q164" s="300">
        <f t="shared" si="87"/>
        <v>0</v>
      </c>
      <c r="R164" s="300">
        <f t="shared" si="87"/>
        <v>0</v>
      </c>
      <c r="S164" s="126"/>
      <c r="T164" s="126"/>
      <c r="U164" s="126"/>
      <c r="V164" s="126"/>
      <c r="W164" s="126"/>
      <c r="X164" s="126"/>
      <c r="Y164" s="126"/>
      <c r="Z164" s="126"/>
    </row>
    <row r="165" spans="1:16383" s="259" customFormat="1" x14ac:dyDescent="0.25">
      <c r="A165" s="272"/>
      <c r="B165" s="256"/>
      <c r="C165" s="257"/>
      <c r="D165" s="258"/>
      <c r="E165" s="60" t="s">
        <v>165</v>
      </c>
      <c r="F165" s="273">
        <f>SUM(J165:R165)</f>
        <v>0</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5">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25">
      <c r="A167" s="69" t="s">
        <v>278</v>
      </c>
      <c r="B167" s="69"/>
    </row>
    <row r="169" spans="1:16383" x14ac:dyDescent="0.25">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0</v>
      </c>
      <c r="M169" s="226">
        <f t="shared" si="90"/>
        <v>0</v>
      </c>
      <c r="N169" s="225">
        <f t="shared" si="90"/>
        <v>0</v>
      </c>
      <c r="O169" s="225">
        <f t="shared" si="90"/>
        <v>0</v>
      </c>
      <c r="P169" s="225">
        <f t="shared" si="90"/>
        <v>0</v>
      </c>
      <c r="Q169" s="225">
        <f t="shared" si="90"/>
        <v>0</v>
      </c>
      <c r="R169" s="225">
        <f t="shared" si="90"/>
        <v>0</v>
      </c>
    </row>
    <row r="170" spans="1:16383" x14ac:dyDescent="0.25">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0</v>
      </c>
      <c r="M170" s="226">
        <f t="shared" si="91"/>
        <v>0</v>
      </c>
      <c r="N170" s="225">
        <f t="shared" si="91"/>
        <v>0</v>
      </c>
      <c r="O170" s="225">
        <f t="shared" si="91"/>
        <v>0</v>
      </c>
      <c r="P170" s="225">
        <f t="shared" si="91"/>
        <v>0</v>
      </c>
      <c r="Q170" s="225">
        <f t="shared" si="91"/>
        <v>0</v>
      </c>
      <c r="R170" s="225">
        <f t="shared" si="91"/>
        <v>0</v>
      </c>
    </row>
    <row r="171" spans="1:16383" s="236" customFormat="1" x14ac:dyDescent="0.25">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5">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0</v>
      </c>
      <c r="M172" s="225">
        <f t="shared" si="92"/>
        <v>0</v>
      </c>
      <c r="N172" s="225">
        <f t="shared" si="92"/>
        <v>0</v>
      </c>
      <c r="O172" s="225">
        <f t="shared" si="92"/>
        <v>0</v>
      </c>
      <c r="P172" s="225">
        <f t="shared" si="92"/>
        <v>0</v>
      </c>
      <c r="Q172" s="225">
        <f t="shared" si="92"/>
        <v>0</v>
      </c>
      <c r="R172" s="225">
        <f t="shared" si="92"/>
        <v>0</v>
      </c>
      <c r="S172" s="126"/>
      <c r="T172" s="126"/>
      <c r="U172" s="126"/>
      <c r="V172" s="126"/>
      <c r="W172" s="126"/>
      <c r="X172" s="126"/>
      <c r="Y172" s="126"/>
      <c r="Z172" s="126"/>
    </row>
    <row r="173" spans="1:16383" s="125" customFormat="1" x14ac:dyDescent="0.25">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0</v>
      </c>
      <c r="M173" s="225">
        <f t="shared" si="92"/>
        <v>0</v>
      </c>
      <c r="N173" s="225">
        <f t="shared" si="92"/>
        <v>0</v>
      </c>
      <c r="O173" s="225">
        <f t="shared" si="92"/>
        <v>0</v>
      </c>
      <c r="P173" s="225">
        <f t="shared" si="92"/>
        <v>0</v>
      </c>
      <c r="Q173" s="225">
        <f t="shared" si="92"/>
        <v>0</v>
      </c>
      <c r="R173" s="225">
        <f t="shared" si="92"/>
        <v>0</v>
      </c>
      <c r="S173" s="126"/>
      <c r="T173" s="126"/>
      <c r="U173" s="126"/>
      <c r="V173" s="126"/>
      <c r="W173" s="126"/>
      <c r="X173" s="126"/>
      <c r="Y173" s="126"/>
      <c r="Z173" s="126"/>
    </row>
    <row r="174" spans="1:16383" s="125" customFormat="1" x14ac:dyDescent="0.25">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0</v>
      </c>
      <c r="N174" s="226">
        <f t="shared" si="93"/>
        <v>0</v>
      </c>
      <c r="O174" s="226">
        <f t="shared" si="93"/>
        <v>0</v>
      </c>
      <c r="P174" s="226">
        <f t="shared" si="93"/>
        <v>0</v>
      </c>
      <c r="Q174" s="226">
        <f t="shared" si="93"/>
        <v>0</v>
      </c>
      <c r="R174" s="226">
        <f t="shared" si="93"/>
        <v>0</v>
      </c>
      <c r="S174" s="126"/>
      <c r="T174" s="126"/>
      <c r="U174" s="126"/>
      <c r="V174" s="126"/>
      <c r="W174" s="126"/>
      <c r="X174" s="126"/>
      <c r="Y174" s="126"/>
      <c r="Z174" s="126"/>
    </row>
    <row r="175" spans="1:16383" s="125" customFormat="1" x14ac:dyDescent="0.25">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5">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0</v>
      </c>
      <c r="N176" s="226">
        <f t="shared" si="94"/>
        <v>0</v>
      </c>
      <c r="O176" s="226">
        <f t="shared" si="94"/>
        <v>0</v>
      </c>
      <c r="P176" s="226">
        <f t="shared" si="94"/>
        <v>0</v>
      </c>
      <c r="Q176" s="226">
        <f t="shared" si="94"/>
        <v>0</v>
      </c>
      <c r="R176" s="226">
        <f t="shared" si="94"/>
        <v>0</v>
      </c>
      <c r="S176" s="126"/>
      <c r="T176" s="126"/>
      <c r="U176" s="126"/>
      <c r="V176" s="126"/>
      <c r="W176" s="126"/>
      <c r="X176" s="126"/>
      <c r="Y176" s="126"/>
      <c r="Z176" s="126"/>
    </row>
    <row r="177" spans="1:26" s="126" customFormat="1" x14ac:dyDescent="0.25">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5">
      <c r="A178" s="326"/>
      <c r="B178" s="327"/>
      <c r="C178" s="328"/>
      <c r="D178" s="329"/>
      <c r="E178" s="44" t="s">
        <v>365</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0</v>
      </c>
      <c r="R178" s="325">
        <f t="shared" si="95"/>
        <v>0</v>
      </c>
      <c r="S178" s="129"/>
      <c r="T178" s="129"/>
      <c r="U178" s="129"/>
      <c r="V178" s="129"/>
      <c r="W178" s="129"/>
      <c r="X178" s="129"/>
      <c r="Y178" s="129"/>
      <c r="Z178" s="129"/>
    </row>
    <row r="179" spans="1:26" x14ac:dyDescent="0.25">
      <c r="H179" s="225"/>
      <c r="J179" s="225"/>
      <c r="K179" s="225"/>
      <c r="L179" s="225"/>
      <c r="M179" s="226"/>
      <c r="N179" s="225"/>
      <c r="O179" s="225"/>
      <c r="P179" s="225"/>
      <c r="Q179" s="225"/>
      <c r="R179" s="225"/>
    </row>
    <row r="180" spans="1:26" x14ac:dyDescent="0.25">
      <c r="A180" s="69" t="s">
        <v>279</v>
      </c>
      <c r="B180" s="69"/>
    </row>
    <row r="182" spans="1:26" s="125" customFormat="1" x14ac:dyDescent="0.25">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0</v>
      </c>
      <c r="N182" s="225">
        <f t="shared" si="96"/>
        <v>0</v>
      </c>
      <c r="O182" s="225">
        <f t="shared" si="96"/>
        <v>0</v>
      </c>
      <c r="P182" s="225">
        <f t="shared" si="96"/>
        <v>0</v>
      </c>
      <c r="Q182" s="225">
        <f t="shared" si="96"/>
        <v>0</v>
      </c>
      <c r="R182" s="225">
        <f t="shared" si="96"/>
        <v>0</v>
      </c>
      <c r="S182" s="126"/>
      <c r="T182" s="126"/>
      <c r="U182" s="126"/>
      <c r="V182" s="126"/>
      <c r="W182" s="126"/>
      <c r="X182" s="126"/>
      <c r="Y182" s="126"/>
      <c r="Z182" s="126"/>
    </row>
    <row r="183" spans="1:26" s="125" customFormat="1" x14ac:dyDescent="0.25">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0</v>
      </c>
      <c r="N183" s="225">
        <f t="shared" si="97"/>
        <v>0</v>
      </c>
      <c r="O183" s="225">
        <f t="shared" si="97"/>
        <v>0</v>
      </c>
      <c r="P183" s="225">
        <f t="shared" si="97"/>
        <v>0</v>
      </c>
      <c r="Q183" s="225">
        <f t="shared" si="97"/>
        <v>0</v>
      </c>
      <c r="R183" s="225">
        <f t="shared" si="97"/>
        <v>0</v>
      </c>
      <c r="S183" s="126"/>
      <c r="T183" s="126"/>
      <c r="U183" s="126"/>
      <c r="V183" s="126"/>
      <c r="W183" s="126"/>
      <c r="X183" s="126"/>
      <c r="Y183" s="126"/>
      <c r="Z183" s="126"/>
    </row>
    <row r="184" spans="1:26" s="125" customFormat="1" x14ac:dyDescent="0.25">
      <c r="A184" s="210"/>
      <c r="B184" s="204"/>
      <c r="C184" s="205"/>
      <c r="D184" s="211"/>
      <c r="E184" s="60" t="str">
        <f>E$157</f>
        <v>Total True up Nominal revenue to company</v>
      </c>
      <c r="F184" s="225">
        <f t="shared" ref="F184:R184" si="98">F$157</f>
        <v>0</v>
      </c>
      <c r="G184" s="225" t="str">
        <f t="shared" si="98"/>
        <v>£m</v>
      </c>
      <c r="H184" s="225">
        <f t="shared" si="98"/>
        <v>0</v>
      </c>
      <c r="I184" s="225">
        <f t="shared" si="98"/>
        <v>0</v>
      </c>
      <c r="J184" s="225">
        <f t="shared" si="98"/>
        <v>0</v>
      </c>
      <c r="K184" s="225">
        <f t="shared" si="98"/>
        <v>0</v>
      </c>
      <c r="L184" s="225">
        <f t="shared" si="98"/>
        <v>0</v>
      </c>
      <c r="M184" s="225">
        <f t="shared" si="98"/>
        <v>0</v>
      </c>
      <c r="N184" s="225">
        <f t="shared" si="98"/>
        <v>0</v>
      </c>
      <c r="O184" s="225">
        <f t="shared" si="98"/>
        <v>0</v>
      </c>
      <c r="P184" s="225">
        <f t="shared" si="98"/>
        <v>0</v>
      </c>
      <c r="Q184" s="225">
        <f t="shared" si="98"/>
        <v>0</v>
      </c>
      <c r="R184" s="225">
        <f t="shared" si="98"/>
        <v>0</v>
      </c>
      <c r="S184" s="126"/>
      <c r="T184" s="126"/>
      <c r="U184" s="126"/>
      <c r="V184" s="126"/>
      <c r="W184" s="126"/>
      <c r="X184" s="126"/>
      <c r="Y184" s="126"/>
      <c r="Z184" s="126"/>
    </row>
    <row r="185" spans="1:26" s="125" customFormat="1" x14ac:dyDescent="0.25">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0</v>
      </c>
      <c r="N185" s="225">
        <f t="shared" si="99"/>
        <v>0</v>
      </c>
      <c r="O185" s="225">
        <f t="shared" si="99"/>
        <v>0</v>
      </c>
      <c r="P185" s="225">
        <f t="shared" si="99"/>
        <v>0</v>
      </c>
      <c r="Q185" s="225">
        <f t="shared" si="99"/>
        <v>0</v>
      </c>
      <c r="R185" s="225">
        <f t="shared" si="99"/>
        <v>0</v>
      </c>
      <c r="S185" s="126"/>
      <c r="T185" s="126"/>
      <c r="U185" s="126"/>
      <c r="V185" s="126"/>
      <c r="W185" s="126"/>
      <c r="X185" s="126"/>
      <c r="Y185" s="126"/>
      <c r="Z185" s="126"/>
    </row>
    <row r="186" spans="1:26" s="125" customFormat="1" x14ac:dyDescent="0.25">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0</v>
      </c>
      <c r="N186" s="225">
        <f t="shared" si="100"/>
        <v>0</v>
      </c>
      <c r="O186" s="225">
        <f t="shared" si="100"/>
        <v>0</v>
      </c>
      <c r="P186" s="225">
        <f t="shared" si="100"/>
        <v>0</v>
      </c>
      <c r="Q186" s="225">
        <f t="shared" si="100"/>
        <v>0</v>
      </c>
      <c r="R186" s="225">
        <f t="shared" si="100"/>
        <v>0</v>
      </c>
      <c r="S186" s="126"/>
      <c r="T186" s="126"/>
      <c r="U186" s="126"/>
      <c r="V186" s="126"/>
      <c r="W186" s="126"/>
      <c r="X186" s="126"/>
      <c r="Y186" s="126"/>
      <c r="Z186" s="126"/>
    </row>
    <row r="187" spans="1:26" s="125" customFormat="1" x14ac:dyDescent="0.25">
      <c r="A187" s="210"/>
      <c r="B187" s="204"/>
      <c r="C187" s="205"/>
      <c r="D187" s="211"/>
      <c r="E187" s="60" t="str">
        <f>E$108</f>
        <v>Total nominal revenue company should have received</v>
      </c>
      <c r="F187" s="225">
        <f t="shared" ref="F187:R187" si="101">F$108</f>
        <v>0</v>
      </c>
      <c r="G187" s="225" t="str">
        <f t="shared" si="101"/>
        <v>£m</v>
      </c>
      <c r="H187" s="225">
        <f t="shared" si="101"/>
        <v>0</v>
      </c>
      <c r="I187" s="225">
        <f t="shared" si="101"/>
        <v>0</v>
      </c>
      <c r="J187" s="225">
        <f t="shared" si="101"/>
        <v>0</v>
      </c>
      <c r="K187" s="225">
        <f t="shared" si="101"/>
        <v>0</v>
      </c>
      <c r="L187" s="225">
        <f t="shared" si="101"/>
        <v>0</v>
      </c>
      <c r="M187" s="225">
        <f t="shared" si="101"/>
        <v>0</v>
      </c>
      <c r="N187" s="225">
        <f t="shared" si="101"/>
        <v>0</v>
      </c>
      <c r="O187" s="225">
        <f t="shared" si="101"/>
        <v>0</v>
      </c>
      <c r="P187" s="225">
        <f t="shared" si="101"/>
        <v>0</v>
      </c>
      <c r="Q187" s="225">
        <f t="shared" si="101"/>
        <v>0</v>
      </c>
      <c r="R187" s="225">
        <f t="shared" si="101"/>
        <v>0</v>
      </c>
      <c r="S187" s="126"/>
      <c r="T187" s="126"/>
      <c r="U187" s="126"/>
      <c r="V187" s="126"/>
      <c r="W187" s="126"/>
      <c r="X187" s="126"/>
      <c r="Y187" s="126"/>
      <c r="Z187" s="126"/>
    </row>
    <row r="188" spans="1:26" s="253" customFormat="1" x14ac:dyDescent="0.25">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5">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0</v>
      </c>
      <c r="I189" s="225"/>
      <c r="J189" s="225">
        <f t="shared" ref="J189:R194" si="105" xml:space="preserve"> IF(J$188 = 0, 0, J182 / J$188)</f>
        <v>0</v>
      </c>
      <c r="K189" s="225">
        <f t="shared" si="105"/>
        <v>0</v>
      </c>
      <c r="L189" s="225">
        <f t="shared" si="105"/>
        <v>0</v>
      </c>
      <c r="M189" s="226">
        <f t="shared" si="105"/>
        <v>0</v>
      </c>
      <c r="N189" s="225">
        <f t="shared" si="105"/>
        <v>0</v>
      </c>
      <c r="O189" s="225">
        <f t="shared" si="105"/>
        <v>0</v>
      </c>
      <c r="P189" s="225">
        <f t="shared" si="105"/>
        <v>0</v>
      </c>
      <c r="Q189" s="225">
        <f t="shared" si="105"/>
        <v>0</v>
      </c>
      <c r="R189" s="225">
        <f t="shared" si="105"/>
        <v>0</v>
      </c>
      <c r="S189" s="126"/>
      <c r="T189" s="126"/>
      <c r="U189" s="126"/>
      <c r="V189" s="126"/>
      <c r="W189" s="126"/>
      <c r="X189" s="126"/>
      <c r="Y189" s="126"/>
      <c r="Z189" s="126"/>
    </row>
    <row r="190" spans="1:26" s="125" customFormat="1" x14ac:dyDescent="0.25">
      <c r="A190" s="210"/>
      <c r="B190" s="204"/>
      <c r="C190" s="205"/>
      <c r="D190" s="211"/>
      <c r="E190" s="60" t="str">
        <f t="shared" si="102"/>
        <v>True up Nominal return- real</v>
      </c>
      <c r="F190" s="225"/>
      <c r="G190" s="225" t="str">
        <f t="shared" si="103"/>
        <v>£m</v>
      </c>
      <c r="H190" s="295">
        <f t="shared" si="104"/>
        <v>0</v>
      </c>
      <c r="I190" s="225"/>
      <c r="J190" s="225">
        <f t="shared" si="105"/>
        <v>0</v>
      </c>
      <c r="K190" s="225">
        <f t="shared" si="105"/>
        <v>0</v>
      </c>
      <c r="L190" s="225">
        <f t="shared" si="105"/>
        <v>0</v>
      </c>
      <c r="M190" s="226">
        <f t="shared" si="105"/>
        <v>0</v>
      </c>
      <c r="N190" s="225">
        <f xml:space="preserve"> IF(N$188 = 0, 0, N183 / N$188)</f>
        <v>0</v>
      </c>
      <c r="O190" s="225">
        <f t="shared" si="105"/>
        <v>0</v>
      </c>
      <c r="P190" s="225">
        <f t="shared" si="105"/>
        <v>0</v>
      </c>
      <c r="Q190" s="225">
        <f t="shared" si="105"/>
        <v>0</v>
      </c>
      <c r="R190" s="225">
        <f t="shared" si="105"/>
        <v>0</v>
      </c>
      <c r="S190" s="126"/>
      <c r="T190" s="126"/>
      <c r="U190" s="126"/>
      <c r="V190" s="126"/>
      <c r="W190" s="126"/>
      <c r="X190" s="126"/>
      <c r="Y190" s="126"/>
      <c r="Z190" s="126"/>
    </row>
    <row r="191" spans="1:26" s="125" customFormat="1" x14ac:dyDescent="0.25">
      <c r="A191" s="210"/>
      <c r="B191" s="204"/>
      <c r="C191" s="205"/>
      <c r="D191" s="211"/>
      <c r="E191" s="60" t="str">
        <f t="shared" si="102"/>
        <v>Total True up Nominal revenue to company- real</v>
      </c>
      <c r="F191" s="225"/>
      <c r="G191" s="225" t="str">
        <f t="shared" si="103"/>
        <v>£m</v>
      </c>
      <c r="H191" s="295">
        <f t="shared" si="104"/>
        <v>0</v>
      </c>
      <c r="I191" s="225"/>
      <c r="J191" s="225">
        <f t="shared" si="105"/>
        <v>0</v>
      </c>
      <c r="K191" s="225">
        <f t="shared" si="105"/>
        <v>0</v>
      </c>
      <c r="L191" s="225">
        <f t="shared" si="105"/>
        <v>0</v>
      </c>
      <c r="M191" s="226">
        <f t="shared" si="105"/>
        <v>0</v>
      </c>
      <c r="N191" s="225">
        <f t="shared" si="105"/>
        <v>0</v>
      </c>
      <c r="O191" s="225">
        <f t="shared" si="105"/>
        <v>0</v>
      </c>
      <c r="P191" s="225">
        <f t="shared" si="105"/>
        <v>0</v>
      </c>
      <c r="Q191" s="225">
        <f t="shared" si="105"/>
        <v>0</v>
      </c>
      <c r="R191" s="225">
        <f t="shared" si="105"/>
        <v>0</v>
      </c>
      <c r="S191" s="126"/>
      <c r="T191" s="126"/>
      <c r="U191" s="126"/>
      <c r="V191" s="126"/>
      <c r="W191" s="126"/>
      <c r="X191" s="126"/>
      <c r="Y191" s="126"/>
      <c r="Z191" s="126"/>
    </row>
    <row r="192" spans="1:26" s="125" customFormat="1" x14ac:dyDescent="0.25">
      <c r="A192" s="210"/>
      <c r="B192" s="204"/>
      <c r="C192" s="205"/>
      <c r="D192" s="211"/>
      <c r="E192" s="60" t="str">
        <f t="shared" si="102"/>
        <v>RCV run-off company should have received- real</v>
      </c>
      <c r="F192" s="225"/>
      <c r="G192" s="225" t="str">
        <f t="shared" si="103"/>
        <v>£m</v>
      </c>
      <c r="H192" s="295">
        <f t="shared" si="104"/>
        <v>0</v>
      </c>
      <c r="I192" s="225"/>
      <c r="J192" s="225">
        <f t="shared" si="105"/>
        <v>0</v>
      </c>
      <c r="K192" s="225">
        <f t="shared" si="105"/>
        <v>0</v>
      </c>
      <c r="L192" s="225">
        <f t="shared" si="105"/>
        <v>0</v>
      </c>
      <c r="M192" s="226">
        <f t="shared" si="105"/>
        <v>0</v>
      </c>
      <c r="N192" s="225">
        <f t="shared" si="105"/>
        <v>0</v>
      </c>
      <c r="O192" s="225">
        <f t="shared" si="105"/>
        <v>0</v>
      </c>
      <c r="P192" s="225">
        <f t="shared" si="105"/>
        <v>0</v>
      </c>
      <c r="Q192" s="225">
        <f t="shared" si="105"/>
        <v>0</v>
      </c>
      <c r="R192" s="225">
        <f t="shared" si="105"/>
        <v>0</v>
      </c>
      <c r="S192" s="126"/>
      <c r="T192" s="126"/>
      <c r="U192" s="126"/>
      <c r="V192" s="126"/>
      <c r="W192" s="126"/>
      <c r="X192" s="126"/>
      <c r="Y192" s="126"/>
      <c r="Z192" s="126"/>
    </row>
    <row r="193" spans="1:26" s="125" customFormat="1" x14ac:dyDescent="0.25">
      <c r="A193" s="210"/>
      <c r="B193" s="204"/>
      <c r="C193" s="205"/>
      <c r="D193" s="211"/>
      <c r="E193" s="60" t="str">
        <f t="shared" si="102"/>
        <v>Nominal return company should have received- real</v>
      </c>
      <c r="F193" s="225"/>
      <c r="G193" s="225" t="str">
        <f t="shared" si="103"/>
        <v>£m</v>
      </c>
      <c r="H193" s="295">
        <f t="shared" si="104"/>
        <v>0</v>
      </c>
      <c r="I193" s="225"/>
      <c r="J193" s="225">
        <f t="shared" si="105"/>
        <v>0</v>
      </c>
      <c r="K193" s="225">
        <f t="shared" si="105"/>
        <v>0</v>
      </c>
      <c r="L193" s="225">
        <f t="shared" si="105"/>
        <v>0</v>
      </c>
      <c r="M193" s="226">
        <f t="shared" si="105"/>
        <v>0</v>
      </c>
      <c r="N193" s="225">
        <f t="shared" si="105"/>
        <v>0</v>
      </c>
      <c r="O193" s="225">
        <f t="shared" si="105"/>
        <v>0</v>
      </c>
      <c r="P193" s="225">
        <f t="shared" si="105"/>
        <v>0</v>
      </c>
      <c r="Q193" s="225">
        <f t="shared" si="105"/>
        <v>0</v>
      </c>
      <c r="R193" s="225">
        <f t="shared" si="105"/>
        <v>0</v>
      </c>
      <c r="S193" s="126"/>
      <c r="T193" s="126"/>
      <c r="U193" s="126"/>
      <c r="V193" s="126"/>
      <c r="W193" s="126"/>
      <c r="X193" s="126"/>
      <c r="Y193" s="126"/>
      <c r="Z193" s="126"/>
    </row>
    <row r="194" spans="1:26" s="125" customFormat="1" x14ac:dyDescent="0.25">
      <c r="A194" s="210"/>
      <c r="B194" s="204"/>
      <c r="C194" s="205"/>
      <c r="D194" s="211"/>
      <c r="E194" s="60" t="str">
        <f t="shared" si="102"/>
        <v>Total nominal revenue company should have received- real</v>
      </c>
      <c r="F194" s="225"/>
      <c r="G194" s="225" t="str">
        <f t="shared" si="103"/>
        <v>£m</v>
      </c>
      <c r="H194" s="295">
        <f t="shared" si="104"/>
        <v>0</v>
      </c>
      <c r="I194" s="225"/>
      <c r="J194" s="225">
        <f t="shared" si="105"/>
        <v>0</v>
      </c>
      <c r="K194" s="225">
        <f t="shared" si="105"/>
        <v>0</v>
      </c>
      <c r="L194" s="225">
        <f t="shared" si="105"/>
        <v>0</v>
      </c>
      <c r="M194" s="226">
        <f t="shared" si="105"/>
        <v>0</v>
      </c>
      <c r="N194" s="225">
        <f t="shared" si="105"/>
        <v>0</v>
      </c>
      <c r="O194" s="225">
        <f t="shared" si="105"/>
        <v>0</v>
      </c>
      <c r="P194" s="225">
        <f t="shared" si="105"/>
        <v>0</v>
      </c>
      <c r="Q194" s="225">
        <f t="shared" si="105"/>
        <v>0</v>
      </c>
      <c r="R194" s="225">
        <f t="shared" si="105"/>
        <v>0</v>
      </c>
      <c r="S194" s="126"/>
      <c r="T194" s="126"/>
      <c r="U194" s="126"/>
      <c r="V194" s="126"/>
      <c r="W194" s="126"/>
      <c r="X194" s="126"/>
      <c r="Y194" s="126"/>
      <c r="Z194" s="126"/>
    </row>
    <row r="196" spans="1:26" x14ac:dyDescent="0.25">
      <c r="E196" s="56" t="str">
        <f>E$189</f>
        <v>True up Nominal RCV run-off- real</v>
      </c>
      <c r="F196" s="225">
        <f t="shared" ref="F196:R196" si="106">F$189</f>
        <v>0</v>
      </c>
      <c r="G196" s="56" t="str">
        <f t="shared" si="106"/>
        <v>£m</v>
      </c>
      <c r="H196" s="299">
        <f t="shared" si="106"/>
        <v>0</v>
      </c>
      <c r="I196" s="299">
        <f t="shared" si="106"/>
        <v>0</v>
      </c>
      <c r="J196" s="225">
        <f t="shared" si="106"/>
        <v>0</v>
      </c>
      <c r="K196" s="225">
        <f t="shared" si="106"/>
        <v>0</v>
      </c>
      <c r="L196" s="225">
        <f t="shared" si="106"/>
        <v>0</v>
      </c>
      <c r="M196" s="226">
        <f t="shared" si="106"/>
        <v>0</v>
      </c>
      <c r="N196" s="225">
        <f t="shared" si="106"/>
        <v>0</v>
      </c>
      <c r="O196" s="225">
        <f t="shared" si="106"/>
        <v>0</v>
      </c>
      <c r="P196" s="225">
        <f t="shared" si="106"/>
        <v>0</v>
      </c>
      <c r="Q196" s="225">
        <f t="shared" si="106"/>
        <v>0</v>
      </c>
      <c r="R196" s="225">
        <f t="shared" si="106"/>
        <v>0</v>
      </c>
    </row>
    <row r="197" spans="1:26" x14ac:dyDescent="0.25">
      <c r="E197" s="56" t="str">
        <f>E$192</f>
        <v>RCV run-off company should have received- real</v>
      </c>
      <c r="F197" s="225">
        <f t="shared" ref="F197:R197" si="107">F$192</f>
        <v>0</v>
      </c>
      <c r="G197" s="56" t="str">
        <f t="shared" si="107"/>
        <v>£m</v>
      </c>
      <c r="H197" s="299">
        <f t="shared" si="107"/>
        <v>0</v>
      </c>
      <c r="I197" s="299">
        <f t="shared" si="107"/>
        <v>0</v>
      </c>
      <c r="J197" s="225">
        <f t="shared" si="107"/>
        <v>0</v>
      </c>
      <c r="K197" s="225">
        <f t="shared" si="107"/>
        <v>0</v>
      </c>
      <c r="L197" s="225">
        <f t="shared" si="107"/>
        <v>0</v>
      </c>
      <c r="M197" s="226">
        <f t="shared" si="107"/>
        <v>0</v>
      </c>
      <c r="N197" s="225">
        <f t="shared" si="107"/>
        <v>0</v>
      </c>
      <c r="O197" s="225">
        <f t="shared" si="107"/>
        <v>0</v>
      </c>
      <c r="P197" s="225">
        <f t="shared" si="107"/>
        <v>0</v>
      </c>
      <c r="Q197" s="225">
        <f t="shared" si="107"/>
        <v>0</v>
      </c>
      <c r="R197" s="225">
        <f t="shared" si="107"/>
        <v>0</v>
      </c>
    </row>
    <row r="198" spans="1:26" x14ac:dyDescent="0.25">
      <c r="A198" s="89"/>
      <c r="B198" s="95"/>
      <c r="C198" s="332"/>
      <c r="D198" s="91"/>
      <c r="E198" s="60" t="s">
        <v>269</v>
      </c>
      <c r="G198" s="56" t="s">
        <v>88</v>
      </c>
      <c r="H198" s="226">
        <f xml:space="preserve"> SUM(J198:R198)</f>
        <v>0</v>
      </c>
      <c r="I198" s="226"/>
      <c r="J198" s="225">
        <f t="shared" ref="J198:K198" si="108">J197-J196</f>
        <v>0</v>
      </c>
      <c r="K198" s="225">
        <f t="shared" si="108"/>
        <v>0</v>
      </c>
      <c r="L198" s="225">
        <f>L197-L196</f>
        <v>0</v>
      </c>
      <c r="M198" s="226">
        <f>M197-M196</f>
        <v>0</v>
      </c>
      <c r="N198" s="225">
        <f t="shared" ref="N198:R198" si="109">N197-N196</f>
        <v>0</v>
      </c>
      <c r="O198" s="225">
        <f t="shared" si="109"/>
        <v>0</v>
      </c>
      <c r="P198" s="225">
        <f t="shared" si="109"/>
        <v>0</v>
      </c>
      <c r="Q198" s="225">
        <f t="shared" si="109"/>
        <v>0</v>
      </c>
      <c r="R198" s="225">
        <f t="shared" si="109"/>
        <v>0</v>
      </c>
    </row>
    <row r="200" spans="1:26" x14ac:dyDescent="0.25">
      <c r="E200" s="56" t="str">
        <f>E$190</f>
        <v>True up Nominal return- real</v>
      </c>
      <c r="F200" s="225">
        <f t="shared" ref="F200:R200" si="110">F$190</f>
        <v>0</v>
      </c>
      <c r="G200" s="56" t="str">
        <f t="shared" si="110"/>
        <v>£m</v>
      </c>
      <c r="H200" s="299">
        <f t="shared" si="110"/>
        <v>0</v>
      </c>
      <c r="I200" s="299">
        <f t="shared" si="110"/>
        <v>0</v>
      </c>
      <c r="J200" s="225">
        <f t="shared" si="110"/>
        <v>0</v>
      </c>
      <c r="K200" s="225">
        <f t="shared" si="110"/>
        <v>0</v>
      </c>
      <c r="L200" s="225">
        <f t="shared" si="110"/>
        <v>0</v>
      </c>
      <c r="M200" s="226">
        <f t="shared" si="110"/>
        <v>0</v>
      </c>
      <c r="N200" s="225">
        <f t="shared" si="110"/>
        <v>0</v>
      </c>
      <c r="O200" s="225">
        <f t="shared" si="110"/>
        <v>0</v>
      </c>
      <c r="P200" s="225">
        <f t="shared" si="110"/>
        <v>0</v>
      </c>
      <c r="Q200" s="225">
        <f t="shared" si="110"/>
        <v>0</v>
      </c>
      <c r="R200" s="225">
        <f t="shared" si="110"/>
        <v>0</v>
      </c>
    </row>
    <row r="201" spans="1:26" x14ac:dyDescent="0.25">
      <c r="E201" s="56" t="str">
        <f>E$193</f>
        <v>Nominal return company should have received- real</v>
      </c>
      <c r="F201" s="225">
        <f t="shared" ref="F201:R201" si="111">F$193</f>
        <v>0</v>
      </c>
      <c r="G201" s="56" t="str">
        <f t="shared" si="111"/>
        <v>£m</v>
      </c>
      <c r="H201" s="299">
        <f t="shared" si="111"/>
        <v>0</v>
      </c>
      <c r="I201" s="299">
        <f t="shared" si="111"/>
        <v>0</v>
      </c>
      <c r="J201" s="225">
        <f t="shared" si="111"/>
        <v>0</v>
      </c>
      <c r="K201" s="225">
        <f t="shared" si="111"/>
        <v>0</v>
      </c>
      <c r="L201" s="225">
        <f t="shared" si="111"/>
        <v>0</v>
      </c>
      <c r="M201" s="226">
        <f t="shared" si="111"/>
        <v>0</v>
      </c>
      <c r="N201" s="225">
        <f t="shared" si="111"/>
        <v>0</v>
      </c>
      <c r="O201" s="225">
        <f t="shared" si="111"/>
        <v>0</v>
      </c>
      <c r="P201" s="225">
        <f t="shared" si="111"/>
        <v>0</v>
      </c>
      <c r="Q201" s="225">
        <f t="shared" si="111"/>
        <v>0</v>
      </c>
      <c r="R201" s="225">
        <f t="shared" si="111"/>
        <v>0</v>
      </c>
    </row>
    <row r="202" spans="1:26" x14ac:dyDescent="0.25">
      <c r="A202" s="89"/>
      <c r="B202" s="95"/>
      <c r="C202" s="332"/>
      <c r="D202" s="91"/>
      <c r="E202" s="60" t="s">
        <v>276</v>
      </c>
      <c r="G202" s="56" t="s">
        <v>88</v>
      </c>
      <c r="H202" s="226">
        <f xml:space="preserve"> SUM(J202:R202)</f>
        <v>0</v>
      </c>
      <c r="I202" s="226"/>
      <c r="J202" s="225">
        <f t="shared" ref="J202:K202" si="112">J201-J200</f>
        <v>0</v>
      </c>
      <c r="K202" s="225">
        <f t="shared" si="112"/>
        <v>0</v>
      </c>
      <c r="L202" s="225">
        <f>L201-L200</f>
        <v>0</v>
      </c>
      <c r="M202" s="226">
        <f>M201-M200</f>
        <v>0</v>
      </c>
      <c r="N202" s="225">
        <f t="shared" ref="N202:R202" si="113">N201-N200</f>
        <v>0</v>
      </c>
      <c r="O202" s="225">
        <f>O201-O200</f>
        <v>0</v>
      </c>
      <c r="P202" s="225">
        <f t="shared" si="113"/>
        <v>0</v>
      </c>
      <c r="Q202" s="225">
        <f t="shared" si="113"/>
        <v>0</v>
      </c>
      <c r="R202" s="225">
        <f t="shared" si="113"/>
        <v>0</v>
      </c>
    </row>
    <row r="204" spans="1:26" x14ac:dyDescent="0.25">
      <c r="E204" s="56" t="str">
        <f>E$191</f>
        <v>Total True up Nominal revenue to company- real</v>
      </c>
      <c r="F204" s="225">
        <f t="shared" ref="F204:R204" si="114">F$191</f>
        <v>0</v>
      </c>
      <c r="G204" s="56" t="str">
        <f t="shared" si="114"/>
        <v>£m</v>
      </c>
      <c r="H204" s="299">
        <f t="shared" si="114"/>
        <v>0</v>
      </c>
      <c r="I204" s="299"/>
      <c r="J204" s="225">
        <f t="shared" si="114"/>
        <v>0</v>
      </c>
      <c r="K204" s="225">
        <f t="shared" si="114"/>
        <v>0</v>
      </c>
      <c r="L204" s="225">
        <f t="shared" si="114"/>
        <v>0</v>
      </c>
      <c r="M204" s="226">
        <f t="shared" si="114"/>
        <v>0</v>
      </c>
      <c r="N204" s="225">
        <f t="shared" si="114"/>
        <v>0</v>
      </c>
      <c r="O204" s="225">
        <f t="shared" si="114"/>
        <v>0</v>
      </c>
      <c r="P204" s="225">
        <f t="shared" si="114"/>
        <v>0</v>
      </c>
      <c r="Q204" s="225">
        <f t="shared" si="114"/>
        <v>0</v>
      </c>
      <c r="R204" s="225">
        <f t="shared" si="114"/>
        <v>0</v>
      </c>
    </row>
    <row r="205" spans="1:26" x14ac:dyDescent="0.25">
      <c r="E205" s="56" t="str">
        <f>E$194</f>
        <v>Total nominal revenue company should have received- real</v>
      </c>
      <c r="F205" s="225">
        <f t="shared" ref="F205:R205" si="115">F$194</f>
        <v>0</v>
      </c>
      <c r="G205" s="56" t="str">
        <f t="shared" si="115"/>
        <v>£m</v>
      </c>
      <c r="H205" s="299">
        <f t="shared" si="115"/>
        <v>0</v>
      </c>
      <c r="I205" s="299"/>
      <c r="J205" s="225">
        <f t="shared" si="115"/>
        <v>0</v>
      </c>
      <c r="K205" s="225">
        <f t="shared" si="115"/>
        <v>0</v>
      </c>
      <c r="L205" s="225">
        <f t="shared" si="115"/>
        <v>0</v>
      </c>
      <c r="M205" s="226">
        <f t="shared" si="115"/>
        <v>0</v>
      </c>
      <c r="N205" s="225">
        <f t="shared" si="115"/>
        <v>0</v>
      </c>
      <c r="O205" s="225">
        <f t="shared" si="115"/>
        <v>0</v>
      </c>
      <c r="P205" s="225">
        <f t="shared" si="115"/>
        <v>0</v>
      </c>
      <c r="Q205" s="225">
        <f t="shared" si="115"/>
        <v>0</v>
      </c>
      <c r="R205" s="225">
        <f t="shared" si="115"/>
        <v>0</v>
      </c>
    </row>
    <row r="206" spans="1:26" x14ac:dyDescent="0.25">
      <c r="A206" s="89"/>
      <c r="B206" s="95"/>
      <c r="C206" s="332"/>
      <c r="D206" s="91"/>
      <c r="E206" s="60" t="s">
        <v>322</v>
      </c>
      <c r="G206" s="56" t="s">
        <v>88</v>
      </c>
      <c r="H206" s="226">
        <f xml:space="preserve"> SUM(J206:R206)</f>
        <v>0</v>
      </c>
      <c r="I206" s="226"/>
      <c r="J206" s="225">
        <f t="shared" ref="J206:K206" si="116">J205-J204</f>
        <v>0</v>
      </c>
      <c r="K206" s="225">
        <f t="shared" si="116"/>
        <v>0</v>
      </c>
      <c r="L206" s="225">
        <f>L205-L204</f>
        <v>0</v>
      </c>
      <c r="M206" s="226">
        <f>M205-M204</f>
        <v>0</v>
      </c>
      <c r="N206" s="225">
        <f t="shared" ref="N206:R206" si="117">N205-N204</f>
        <v>0</v>
      </c>
      <c r="O206" s="225">
        <f t="shared" si="117"/>
        <v>0</v>
      </c>
      <c r="P206" s="225">
        <f t="shared" si="117"/>
        <v>0</v>
      </c>
      <c r="Q206" s="225">
        <f t="shared" si="117"/>
        <v>0</v>
      </c>
      <c r="R206" s="225">
        <f t="shared" si="117"/>
        <v>0</v>
      </c>
    </row>
    <row r="208" spans="1:26" x14ac:dyDescent="0.25">
      <c r="B208" s="80" t="s">
        <v>270</v>
      </c>
      <c r="E208" s="60"/>
      <c r="H208" s="226"/>
      <c r="I208" s="226"/>
      <c r="J208" s="225"/>
      <c r="K208" s="225"/>
      <c r="L208" s="225"/>
      <c r="M208" s="226"/>
      <c r="N208" s="225"/>
      <c r="O208" s="225"/>
      <c r="P208" s="225"/>
      <c r="Q208" s="225"/>
      <c r="R208" s="225"/>
    </row>
    <row r="209" spans="1:26" s="126" customFormat="1" x14ac:dyDescent="0.25">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5">
      <c r="A210" s="249"/>
      <c r="B210" s="250"/>
      <c r="C210" s="251"/>
      <c r="D210" s="252"/>
      <c r="E210" s="49" t="str">
        <f>InpR!E$112</f>
        <v>WACC real on RCV - CPI(H) bf and additions - DMMY</v>
      </c>
      <c r="F210" s="253">
        <f>InpR!F$112</f>
        <v>0</v>
      </c>
      <c r="G210" s="271" t="str">
        <f>InpR!G$112</f>
        <v>%</v>
      </c>
      <c r="H210" s="253" t="str">
        <f>InpR!I$112</f>
        <v>PR19 Financial model, 'Dummy Control' sheet row 860</v>
      </c>
      <c r="I210" s="253" t="e">
        <f>InpR!#REF!</f>
        <v>#REF!</v>
      </c>
      <c r="J210" s="253">
        <f>InpR!J$112</f>
        <v>0</v>
      </c>
      <c r="K210" s="253">
        <f>InpR!K$112</f>
        <v>0</v>
      </c>
      <c r="L210" s="253">
        <f>InpR!L$112</f>
        <v>0</v>
      </c>
      <c r="M210" s="253">
        <f>InpR!M$112</f>
        <v>0</v>
      </c>
      <c r="N210" s="253">
        <f>InpR!N$112</f>
        <v>0</v>
      </c>
      <c r="O210" s="253">
        <f>InpR!O$112</f>
        <v>0</v>
      </c>
      <c r="P210" s="253">
        <f>InpR!P$112</f>
        <v>0</v>
      </c>
      <c r="Q210" s="253">
        <f>InpR!Q$112</f>
        <v>0</v>
      </c>
      <c r="R210" s="253">
        <f>InpR!R$112</f>
        <v>0</v>
      </c>
    </row>
    <row r="211" spans="1:26" x14ac:dyDescent="0.25">
      <c r="E211" s="60" t="s">
        <v>272</v>
      </c>
      <c r="G211" s="56" t="s">
        <v>273</v>
      </c>
      <c r="J211" s="309">
        <f xml:space="preserve"> (1 + J$210) ^ J$209</f>
        <v>1</v>
      </c>
      <c r="K211" s="309">
        <f t="shared" ref="K211:R211" si="118" xml:space="preserve"> (1 + K$210) ^ K$209</f>
        <v>1</v>
      </c>
      <c r="L211" s="309">
        <f t="shared" si="118"/>
        <v>1</v>
      </c>
      <c r="M211" s="309">
        <f t="shared" si="118"/>
        <v>1</v>
      </c>
      <c r="N211" s="309">
        <f t="shared" si="118"/>
        <v>1</v>
      </c>
      <c r="O211" s="309">
        <f t="shared" si="118"/>
        <v>1</v>
      </c>
      <c r="P211" s="309">
        <f t="shared" si="118"/>
        <v>1</v>
      </c>
      <c r="Q211" s="309">
        <f t="shared" si="118"/>
        <v>1</v>
      </c>
      <c r="R211" s="309">
        <f t="shared" si="118"/>
        <v>1</v>
      </c>
    </row>
    <row r="213" spans="1:26" x14ac:dyDescent="0.25">
      <c r="B213" s="80" t="s">
        <v>274</v>
      </c>
    </row>
    <row r="214" spans="1:26" x14ac:dyDescent="0.25">
      <c r="E214" s="56" t="str">
        <f>E$198</f>
        <v>Value of True up run-off - real</v>
      </c>
      <c r="F214" s="225">
        <f t="shared" ref="F214:R214" si="119">F$198</f>
        <v>0</v>
      </c>
      <c r="G214" s="56" t="str">
        <f t="shared" si="119"/>
        <v>£m</v>
      </c>
      <c r="H214" s="299">
        <f t="shared" si="119"/>
        <v>0</v>
      </c>
      <c r="I214" s="299">
        <f t="shared" si="119"/>
        <v>0</v>
      </c>
      <c r="J214" s="225">
        <f t="shared" si="119"/>
        <v>0</v>
      </c>
      <c r="K214" s="225">
        <f t="shared" si="119"/>
        <v>0</v>
      </c>
      <c r="L214" s="225">
        <f t="shared" si="119"/>
        <v>0</v>
      </c>
      <c r="M214" s="226">
        <f t="shared" si="119"/>
        <v>0</v>
      </c>
      <c r="N214" s="225">
        <f t="shared" si="119"/>
        <v>0</v>
      </c>
      <c r="O214" s="225">
        <f t="shared" si="119"/>
        <v>0</v>
      </c>
      <c r="P214" s="225">
        <f t="shared" si="119"/>
        <v>0</v>
      </c>
      <c r="Q214" s="225">
        <f t="shared" si="119"/>
        <v>0</v>
      </c>
      <c r="R214" s="225">
        <f t="shared" si="119"/>
        <v>0</v>
      </c>
    </row>
    <row r="215" spans="1:26" x14ac:dyDescent="0.25">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v>
      </c>
      <c r="N215" s="225">
        <f t="shared" si="120"/>
        <v>1</v>
      </c>
      <c r="O215" s="225">
        <f t="shared" si="120"/>
        <v>1</v>
      </c>
      <c r="P215" s="225">
        <f t="shared" si="120"/>
        <v>1</v>
      </c>
      <c r="Q215" s="225">
        <f t="shared" si="120"/>
        <v>1</v>
      </c>
      <c r="R215" s="225">
        <f t="shared" si="120"/>
        <v>1</v>
      </c>
    </row>
    <row r="216" spans="1:26" s="44" customFormat="1" x14ac:dyDescent="0.25">
      <c r="A216" s="319"/>
      <c r="B216" s="320"/>
      <c r="C216" s="321"/>
      <c r="D216" s="322"/>
      <c r="E216" s="44" t="s">
        <v>366</v>
      </c>
      <c r="G216" s="44" t="s">
        <v>88</v>
      </c>
      <c r="H216" s="325">
        <f xml:space="preserve"> SUM(J216:R216)</f>
        <v>0</v>
      </c>
      <c r="J216" s="325">
        <f xml:space="preserve"> J214 * J215</f>
        <v>0</v>
      </c>
      <c r="K216" s="325">
        <f t="shared" ref="K216:R216" si="121" xml:space="preserve"> K214 * K215</f>
        <v>0</v>
      </c>
      <c r="L216" s="325">
        <f t="shared" si="121"/>
        <v>0</v>
      </c>
      <c r="M216" s="331">
        <f t="shared" si="121"/>
        <v>0</v>
      </c>
      <c r="N216" s="325">
        <f t="shared" si="121"/>
        <v>0</v>
      </c>
      <c r="O216" s="325">
        <f t="shared" si="121"/>
        <v>0</v>
      </c>
      <c r="P216" s="325">
        <f t="shared" si="121"/>
        <v>0</v>
      </c>
      <c r="Q216" s="325">
        <f t="shared" si="121"/>
        <v>0</v>
      </c>
      <c r="R216" s="325">
        <f t="shared" si="121"/>
        <v>0</v>
      </c>
      <c r="S216" s="46"/>
      <c r="T216" s="46"/>
      <c r="U216" s="46"/>
      <c r="V216" s="46"/>
      <c r="W216" s="46"/>
      <c r="X216" s="46"/>
      <c r="Y216" s="46"/>
      <c r="Z216" s="46"/>
    </row>
    <row r="218" spans="1:26" x14ac:dyDescent="0.25">
      <c r="B218" s="80" t="s">
        <v>275</v>
      </c>
    </row>
    <row r="219" spans="1:26" x14ac:dyDescent="0.25">
      <c r="E219" s="56" t="str">
        <f>E202</f>
        <v>Value of True up return - real</v>
      </c>
      <c r="F219" s="225">
        <f t="shared" ref="F219:R219" si="122">F202</f>
        <v>0</v>
      </c>
      <c r="G219" s="56" t="str">
        <f t="shared" si="122"/>
        <v>£m</v>
      </c>
      <c r="H219" s="299">
        <f t="shared" si="122"/>
        <v>0</v>
      </c>
      <c r="I219" s="299">
        <f t="shared" si="122"/>
        <v>0</v>
      </c>
      <c r="J219" s="225">
        <f t="shared" si="122"/>
        <v>0</v>
      </c>
      <c r="K219" s="225">
        <f t="shared" si="122"/>
        <v>0</v>
      </c>
      <c r="L219" s="225">
        <f t="shared" si="122"/>
        <v>0</v>
      </c>
      <c r="M219" s="226">
        <f t="shared" si="122"/>
        <v>0</v>
      </c>
      <c r="N219" s="225">
        <f t="shared" si="122"/>
        <v>0</v>
      </c>
      <c r="O219" s="225">
        <f t="shared" si="122"/>
        <v>0</v>
      </c>
      <c r="P219" s="225">
        <f t="shared" si="122"/>
        <v>0</v>
      </c>
      <c r="Q219" s="225">
        <f t="shared" si="122"/>
        <v>0</v>
      </c>
      <c r="R219" s="225">
        <f t="shared" si="122"/>
        <v>0</v>
      </c>
    </row>
    <row r="220" spans="1:26" x14ac:dyDescent="0.25">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v>
      </c>
      <c r="N220" s="225">
        <f t="shared" si="123"/>
        <v>1</v>
      </c>
      <c r="O220" s="225">
        <f t="shared" si="123"/>
        <v>1</v>
      </c>
      <c r="P220" s="225">
        <f t="shared" si="123"/>
        <v>1</v>
      </c>
      <c r="Q220" s="225">
        <f t="shared" si="123"/>
        <v>1</v>
      </c>
      <c r="R220" s="225">
        <f t="shared" si="123"/>
        <v>1</v>
      </c>
    </row>
    <row r="221" spans="1:26" s="44" customFormat="1" x14ac:dyDescent="0.25">
      <c r="A221" s="319"/>
      <c r="B221" s="320"/>
      <c r="C221" s="321"/>
      <c r="D221" s="322"/>
      <c r="E221" s="44" t="s">
        <v>367</v>
      </c>
      <c r="G221" s="44" t="s">
        <v>88</v>
      </c>
      <c r="H221" s="325">
        <f xml:space="preserve"> SUM(J221:R221)</f>
        <v>0</v>
      </c>
      <c r="J221" s="325">
        <f xml:space="preserve"> J219 * J220</f>
        <v>0</v>
      </c>
      <c r="K221" s="325">
        <f t="shared" ref="K221:M221" si="124" xml:space="preserve"> K219 * K220</f>
        <v>0</v>
      </c>
      <c r="L221" s="325">
        <f t="shared" si="124"/>
        <v>0</v>
      </c>
      <c r="M221" s="331">
        <f t="shared" si="124"/>
        <v>0</v>
      </c>
      <c r="N221" s="325">
        <f xml:space="preserve"> N219 * N220</f>
        <v>0</v>
      </c>
      <c r="O221" s="325">
        <f t="shared" ref="O221:R221" si="125" xml:space="preserve"> O219 * O220</f>
        <v>0</v>
      </c>
      <c r="P221" s="325">
        <f t="shared" si="125"/>
        <v>0</v>
      </c>
      <c r="Q221" s="325">
        <f t="shared" si="125"/>
        <v>0</v>
      </c>
      <c r="R221" s="325">
        <f t="shared" si="125"/>
        <v>0</v>
      </c>
      <c r="S221" s="46"/>
      <c r="T221" s="46"/>
      <c r="U221" s="46"/>
      <c r="V221" s="46"/>
      <c r="W221" s="46"/>
      <c r="X221" s="46"/>
      <c r="Y221" s="46"/>
      <c r="Z221" s="46"/>
    </row>
    <row r="223" spans="1:26" x14ac:dyDescent="0.3">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26" priority="6" stopIfTrue="1" operator="notEqual">
      <formula>0</formula>
    </cfRule>
    <cfRule type="cellIs" dxfId="25" priority="7" stopIfTrue="1" operator="equal">
      <formula>""</formula>
    </cfRule>
  </conditionalFormatting>
  <conditionalFormatting sqref="J3:Z3">
    <cfRule type="cellIs" dxfId="24" priority="8" operator="equal">
      <formula>"Post-Fcst"</formula>
    </cfRule>
    <cfRule type="cellIs" dxfId="23" priority="9" operator="equal">
      <formula>"Forecast"</formula>
    </cfRule>
    <cfRule type="cellIs" dxfId="22" priority="10" operator="equal">
      <formula>"Pre Fcst"</formula>
    </cfRule>
  </conditionalFormatting>
  <conditionalFormatting sqref="F2">
    <cfRule type="cellIs" dxfId="21" priority="4" stopIfTrue="1" operator="notEqual">
      <formula>0</formula>
    </cfRule>
    <cfRule type="cellIs" dxfId="20" priority="5" stopIfTrue="1" operator="equal">
      <formula>""</formula>
    </cfRule>
  </conditionalFormatting>
  <conditionalFormatting sqref="F165">
    <cfRule type="cellIs" dxfId="19" priority="2" stopIfTrue="1" operator="notEqual">
      <formula>0</formula>
    </cfRule>
    <cfRule type="cellIs" dxfId="18"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39997558519241921"/>
    <outlinePr summaryBelow="0" summaryRight="0"/>
    <pageSetUpPr fitToPage="1"/>
  </sheetPr>
  <dimension ref="A1:Z36"/>
  <sheetViews>
    <sheetView tabSelected="1" zoomScaleNormal="100" workbookViewId="0">
      <selection activeCell="Q8" sqref="Q8"/>
    </sheetView>
  </sheetViews>
  <sheetFormatPr defaultColWidth="0" defaultRowHeight="13" x14ac:dyDescent="0.25"/>
  <cols>
    <col min="1" max="1" width="1.81640625" style="69" customWidth="1"/>
    <col min="2" max="2" width="1.81640625" style="80" customWidth="1"/>
    <col min="3" max="3" width="1.81640625" style="144" customWidth="1"/>
    <col min="4" max="4" width="1.81640625" style="74" customWidth="1"/>
    <col min="5" max="5" width="53.26953125" style="56" customWidth="1"/>
    <col min="6" max="6" width="12.54296875" style="56" customWidth="1"/>
    <col min="7" max="7" width="10.81640625" style="56" bestFit="1" customWidth="1"/>
    <col min="8" max="8" width="11.54296875" style="56" customWidth="1"/>
    <col min="9" max="9" width="2.54296875" style="56" customWidth="1"/>
    <col min="10" max="18" width="11.54296875" style="56" customWidth="1"/>
    <col min="19" max="26" width="11.54296875" style="60" hidden="1" customWidth="1"/>
    <col min="27" max="16384" width="0" style="56" hidden="1"/>
  </cols>
  <sheetData>
    <row r="1" spans="1:26" s="156" customFormat="1" ht="25" x14ac:dyDescent="0.5">
      <c r="A1" s="152" t="str">
        <f ca="1" xml:space="preserve"> RIGHT(CELL("filename", $A$1), LEN(CELL("filename", $A$1)) - SEARCH("]", CELL("filename", $A$1)))</f>
        <v>Adjustments</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7" spans="1:26" x14ac:dyDescent="0.25">
      <c r="B7" s="80" t="s">
        <v>348</v>
      </c>
    </row>
    <row r="8" spans="1:26" s="126" customFormat="1" x14ac:dyDescent="0.25">
      <c r="A8" s="203"/>
      <c r="B8" s="204"/>
      <c r="C8" s="205"/>
      <c r="D8" s="206"/>
      <c r="E8" s="236" t="str">
        <f>'Calcs-WR'!E$178</f>
        <v>RCV adjustment at end of period - real - WR</v>
      </c>
      <c r="F8" s="301"/>
      <c r="G8" s="301" t="str">
        <f>'Calcs-WR'!G$178</f>
        <v>£m</v>
      </c>
      <c r="H8" s="340">
        <f>'Calcs-WR'!H$178</f>
        <v>0</v>
      </c>
      <c r="I8" s="340"/>
      <c r="J8" s="340">
        <f>'Calcs-WR'!J$178</f>
        <v>0</v>
      </c>
      <c r="K8" s="340">
        <f>'Calcs-WR'!K$178</f>
        <v>0</v>
      </c>
      <c r="L8" s="340">
        <f>'Calcs-WR'!L$178</f>
        <v>0</v>
      </c>
      <c r="M8" s="340">
        <f>'Calcs-WR'!M$178</f>
        <v>0</v>
      </c>
      <c r="N8" s="340">
        <f>'Calcs-WR'!N$178</f>
        <v>0</v>
      </c>
      <c r="O8" s="340">
        <f>'Calcs-WR'!O$178</f>
        <v>0</v>
      </c>
      <c r="P8" s="340">
        <f>'Calcs-WR'!P$178</f>
        <v>0</v>
      </c>
      <c r="Q8" s="340">
        <f>'Calcs-WR'!Q$178</f>
        <v>4.2387992235092469</v>
      </c>
      <c r="R8" s="340">
        <f>'Calcs-WR'!R$178</f>
        <v>0</v>
      </c>
    </row>
    <row r="9" spans="1:26" s="126" customFormat="1" x14ac:dyDescent="0.25">
      <c r="A9" s="203"/>
      <c r="B9" s="204"/>
      <c r="C9" s="205"/>
      <c r="D9" s="206"/>
      <c r="E9" s="236" t="str">
        <f>'Calcs-WR'!E$216</f>
        <v>Revenue adjustment for RCV run-off - real - WR</v>
      </c>
      <c r="F9" s="301"/>
      <c r="G9" s="301" t="str">
        <f>'Calcs-WR'!G$216</f>
        <v>£m</v>
      </c>
      <c r="H9" s="340">
        <f>'Calcs-WR'!H$216</f>
        <v>0.84362518054592428</v>
      </c>
      <c r="I9" s="340"/>
      <c r="J9" s="340">
        <f>'Calcs-WR'!J$216</f>
        <v>0</v>
      </c>
      <c r="K9" s="340">
        <f>'Calcs-WR'!K$216</f>
        <v>0</v>
      </c>
      <c r="L9" s="340">
        <f>'Calcs-WR'!L$216</f>
        <v>0</v>
      </c>
      <c r="M9" s="340">
        <f>'Calcs-WR'!M$216</f>
        <v>-3.4708782503975091E-2</v>
      </c>
      <c r="N9" s="340">
        <f>'Calcs-WR'!N$216</f>
        <v>6.5290752042365827E-2</v>
      </c>
      <c r="O9" s="340">
        <f>'Calcs-WR'!O$216</f>
        <v>0.30003233373968941</v>
      </c>
      <c r="P9" s="340">
        <f>'Calcs-WR'!P$216</f>
        <v>0.27014597293264281</v>
      </c>
      <c r="Q9" s="340">
        <f>'Calcs-WR'!Q$216</f>
        <v>0.24286490433520136</v>
      </c>
      <c r="R9" s="340">
        <f>'Calcs-WR'!R$216</f>
        <v>0</v>
      </c>
    </row>
    <row r="10" spans="1:26" s="126" customFormat="1" x14ac:dyDescent="0.25">
      <c r="A10" s="203"/>
      <c r="B10" s="204"/>
      <c r="C10" s="205"/>
      <c r="D10" s="206"/>
      <c r="E10" s="236" t="str">
        <f>'Calcs-WR'!E$221</f>
        <v>Revenue adjustment for return - real -WR</v>
      </c>
      <c r="F10" s="301"/>
      <c r="G10" s="301" t="str">
        <f>'Calcs-WR'!G$221</f>
        <v>£m</v>
      </c>
      <c r="H10" s="340">
        <f>'Calcs-WR'!H$221</f>
        <v>0.32659949036757668</v>
      </c>
      <c r="I10" s="340"/>
      <c r="J10" s="340">
        <f>'Calcs-WR'!J$221</f>
        <v>0</v>
      </c>
      <c r="K10" s="340">
        <f>'Calcs-WR'!K$221</f>
        <v>0</v>
      </c>
      <c r="L10" s="340">
        <f>'Calcs-WR'!L$221</f>
        <v>0</v>
      </c>
      <c r="M10" s="340">
        <f>'Calcs-WR'!M$221</f>
        <v>-1.3437093792934614E-2</v>
      </c>
      <c r="N10" s="340">
        <f>'Calcs-WR'!N$221</f>
        <v>2.5276540855446377E-2</v>
      </c>
      <c r="O10" s="340">
        <f>'Calcs-WR'!O$221</f>
        <v>0.11615396215386338</v>
      </c>
      <c r="P10" s="340">
        <f>'Calcs-WR'!P$221</f>
        <v>0.10458381176763783</v>
      </c>
      <c r="Q10" s="340">
        <f>'Calcs-WR'!Q$221</f>
        <v>9.4022269383563728E-2</v>
      </c>
      <c r="R10" s="340">
        <f>'Calcs-WR'!R$221</f>
        <v>0</v>
      </c>
    </row>
    <row r="11" spans="1:26" s="126" customFormat="1" x14ac:dyDescent="0.25">
      <c r="A11" s="203"/>
      <c r="B11" s="204"/>
      <c r="C11" s="205"/>
      <c r="D11" s="206"/>
      <c r="E11" s="236"/>
      <c r="F11" s="301"/>
      <c r="G11" s="301"/>
      <c r="H11" s="340"/>
      <c r="I11" s="340"/>
      <c r="J11" s="340"/>
      <c r="K11" s="340"/>
      <c r="L11" s="340"/>
      <c r="M11" s="340"/>
      <c r="N11" s="340"/>
      <c r="O11" s="340"/>
      <c r="P11" s="340"/>
      <c r="Q11" s="340"/>
      <c r="R11" s="340"/>
    </row>
    <row r="12" spans="1:26" x14ac:dyDescent="0.25">
      <c r="B12" s="80" t="s">
        <v>349</v>
      </c>
    </row>
    <row r="13" spans="1:26" s="126" customFormat="1" x14ac:dyDescent="0.25">
      <c r="A13" s="203"/>
      <c r="B13" s="204"/>
      <c r="C13" s="205"/>
      <c r="D13" s="206"/>
      <c r="E13" s="236" t="str">
        <f>'Calcs-WN'!E$178</f>
        <v>RCV adjustment at end of period - real -WN</v>
      </c>
      <c r="F13" s="301"/>
      <c r="G13" s="301" t="str">
        <f>'Calcs-WN'!G$178</f>
        <v>£m</v>
      </c>
      <c r="H13" s="340">
        <f>'Calcs-WN'!H$178</f>
        <v>0</v>
      </c>
      <c r="I13" s="340"/>
      <c r="J13" s="340">
        <f>'Calcs-WN'!J$178</f>
        <v>0</v>
      </c>
      <c r="K13" s="340">
        <f>'Calcs-WN'!K$178</f>
        <v>0</v>
      </c>
      <c r="L13" s="340">
        <f>'Calcs-WN'!L$178</f>
        <v>0</v>
      </c>
      <c r="M13" s="340">
        <f>'Calcs-WN'!M$178</f>
        <v>0</v>
      </c>
      <c r="N13" s="340">
        <f>'Calcs-WN'!N$178</f>
        <v>0</v>
      </c>
      <c r="O13" s="340">
        <f>'Calcs-WN'!O$178</f>
        <v>0</v>
      </c>
      <c r="P13" s="340">
        <f>'Calcs-WN'!P$178</f>
        <v>0</v>
      </c>
      <c r="Q13" s="340">
        <f>'Calcs-WN'!Q$178</f>
        <v>24.953434405590315</v>
      </c>
      <c r="R13" s="340">
        <f>'Calcs-WN'!R$178</f>
        <v>0</v>
      </c>
    </row>
    <row r="14" spans="1:26" s="126" customFormat="1" x14ac:dyDescent="0.25">
      <c r="A14" s="203"/>
      <c r="B14" s="204"/>
      <c r="C14" s="205"/>
      <c r="D14" s="206"/>
      <c r="E14" s="236" t="str">
        <f>'Calcs-WN'!E$216</f>
        <v>Revenue adjustment for RCV run-off - real - WN</v>
      </c>
      <c r="F14" s="301"/>
      <c r="G14" s="301" t="str">
        <f>'Calcs-WN'!G$216</f>
        <v>£m</v>
      </c>
      <c r="H14" s="340">
        <f>'Calcs-WN'!H$216</f>
        <v>4.2156086995381097</v>
      </c>
      <c r="I14" s="340"/>
      <c r="J14" s="340">
        <f>'Calcs-WN'!J$216</f>
        <v>0</v>
      </c>
      <c r="K14" s="340">
        <f>'Calcs-WN'!K$216</f>
        <v>0</v>
      </c>
      <c r="L14" s="340">
        <f>'Calcs-WN'!L$216</f>
        <v>0</v>
      </c>
      <c r="M14" s="340">
        <f>'Calcs-WN'!M$216</f>
        <v>-0.16934722796763771</v>
      </c>
      <c r="N14" s="340">
        <f>'Calcs-WN'!N$216</f>
        <v>0.32119069754656043</v>
      </c>
      <c r="O14" s="340">
        <f>'Calcs-WN'!O$216</f>
        <v>1.4881678678881012</v>
      </c>
      <c r="P14" s="340">
        <f>'Calcs-WN'!P$216</f>
        <v>1.3509987164814345</v>
      </c>
      <c r="Q14" s="340">
        <f>'Calcs-WN'!Q$216</f>
        <v>1.2245986455896514</v>
      </c>
      <c r="R14" s="340">
        <f>'Calcs-WN'!R$216</f>
        <v>0</v>
      </c>
    </row>
    <row r="15" spans="1:26" s="126" customFormat="1" x14ac:dyDescent="0.25">
      <c r="A15" s="203"/>
      <c r="B15" s="204"/>
      <c r="C15" s="205"/>
      <c r="D15" s="206"/>
      <c r="E15" s="236" t="str">
        <f>'Calcs-WN'!E$221</f>
        <v>Revenue adjustment for return - real - WN</v>
      </c>
      <c r="F15" s="301"/>
      <c r="G15" s="301" t="str">
        <f>'Calcs-WN'!G$221</f>
        <v>£m</v>
      </c>
      <c r="H15" s="340">
        <f>'Calcs-WN'!H$221</f>
        <v>1.9053937123123803</v>
      </c>
      <c r="I15" s="340"/>
      <c r="J15" s="340">
        <f>'Calcs-WN'!J$221</f>
        <v>0</v>
      </c>
      <c r="K15" s="340">
        <f>'Calcs-WN'!K$221</f>
        <v>0</v>
      </c>
      <c r="L15" s="340">
        <f>'Calcs-WN'!L$221</f>
        <v>0</v>
      </c>
      <c r="M15" s="340">
        <f>'Calcs-WN'!M$221</f>
        <v>-7.6542479714123784E-2</v>
      </c>
      <c r="N15" s="340">
        <f>'Calcs-WN'!N$221</f>
        <v>0.14517351565991296</v>
      </c>
      <c r="O15" s="340">
        <f>'Calcs-WN'!O$221</f>
        <v>0.67263019422319514</v>
      </c>
      <c r="P15" s="340">
        <f>'Calcs-WN'!P$221</f>
        <v>0.61063173629180956</v>
      </c>
      <c r="Q15" s="340">
        <f>'Calcs-WN'!Q$221</f>
        <v>0.55350074585158637</v>
      </c>
      <c r="R15" s="340">
        <f>'Calcs-WN'!R$221</f>
        <v>0</v>
      </c>
    </row>
    <row r="16" spans="1:26" s="126" customFormat="1" x14ac:dyDescent="0.25">
      <c r="A16" s="203"/>
      <c r="B16" s="204"/>
      <c r="C16" s="205"/>
      <c r="D16" s="206"/>
      <c r="E16" s="236"/>
      <c r="F16" s="301"/>
      <c r="G16" s="301"/>
      <c r="H16" s="340"/>
      <c r="I16" s="340"/>
      <c r="J16" s="340"/>
      <c r="K16" s="340"/>
      <c r="L16" s="340"/>
      <c r="M16" s="340"/>
      <c r="N16" s="340"/>
      <c r="O16" s="340"/>
      <c r="P16" s="340"/>
      <c r="Q16" s="340"/>
      <c r="R16" s="340"/>
    </row>
    <row r="17" spans="1:26" x14ac:dyDescent="0.25">
      <c r="B17" s="80" t="s">
        <v>350</v>
      </c>
    </row>
    <row r="18" spans="1:26" s="126" customFormat="1" x14ac:dyDescent="0.25">
      <c r="A18" s="203"/>
      <c r="B18" s="204"/>
      <c r="C18" s="205"/>
      <c r="D18" s="206"/>
      <c r="E18" s="236" t="str">
        <f>'Calcs-WWN'!E$178</f>
        <v>RCV adjustment at end of period - real - WWN</v>
      </c>
      <c r="F18" s="301"/>
      <c r="G18" s="301" t="str">
        <f>'Calcs-WWN'!G$178</f>
        <v>£m</v>
      </c>
      <c r="H18" s="340">
        <f>'Calcs-WWN'!H$178</f>
        <v>0</v>
      </c>
      <c r="I18" s="340"/>
      <c r="J18" s="340">
        <f>'Calcs-WWN'!J$178</f>
        <v>0</v>
      </c>
      <c r="K18" s="340">
        <f>'Calcs-WWN'!K$178</f>
        <v>0</v>
      </c>
      <c r="L18" s="340">
        <f>'Calcs-WWN'!L$178</f>
        <v>0</v>
      </c>
      <c r="M18" s="340">
        <f>'Calcs-WWN'!M$178</f>
        <v>0</v>
      </c>
      <c r="N18" s="340">
        <f>'Calcs-WWN'!N$178</f>
        <v>0</v>
      </c>
      <c r="O18" s="340">
        <f>'Calcs-WWN'!O$178</f>
        <v>0</v>
      </c>
      <c r="P18" s="340">
        <f>'Calcs-WWN'!P$178</f>
        <v>0</v>
      </c>
      <c r="Q18" s="340">
        <f>'Calcs-WWN'!Q$178</f>
        <v>27.068182198384079</v>
      </c>
      <c r="R18" s="340">
        <f>'Calcs-WWN'!R$178</f>
        <v>0</v>
      </c>
    </row>
    <row r="19" spans="1:26" s="126" customFormat="1" x14ac:dyDescent="0.25">
      <c r="A19" s="203"/>
      <c r="B19" s="204"/>
      <c r="C19" s="205"/>
      <c r="D19" s="206"/>
      <c r="E19" s="236" t="str">
        <f>'Calcs-WWN'!E$216</f>
        <v>Revenue adjustment for RCV run-off - real - WWN</v>
      </c>
      <c r="F19" s="301"/>
      <c r="G19" s="301" t="str">
        <f>'Calcs-WWN'!G$216</f>
        <v>£m</v>
      </c>
      <c r="H19" s="340">
        <f>'Calcs-WWN'!H$216</f>
        <v>4.4084003136310121</v>
      </c>
      <c r="I19" s="340"/>
      <c r="J19" s="340">
        <f>'Calcs-WWN'!J$216</f>
        <v>0</v>
      </c>
      <c r="K19" s="340">
        <f>'Calcs-WWN'!K$216</f>
        <v>0</v>
      </c>
      <c r="L19" s="340">
        <f>'Calcs-WWN'!L$216</f>
        <v>0</v>
      </c>
      <c r="M19" s="340">
        <f>'Calcs-WWN'!M$216</f>
        <v>-0.17622992187739744</v>
      </c>
      <c r="N19" s="340">
        <f>'Calcs-WWN'!N$216</f>
        <v>0.33480638572670807</v>
      </c>
      <c r="O19" s="340">
        <f>'Calcs-WWN'!O$216</f>
        <v>1.5538600988008247</v>
      </c>
      <c r="P19" s="340">
        <f>'Calcs-WWN'!P$216</f>
        <v>1.4130064537651532</v>
      </c>
      <c r="Q19" s="340">
        <f>'Calcs-WWN'!Q$216</f>
        <v>1.2829572972157237</v>
      </c>
      <c r="R19" s="340">
        <f>'Calcs-WWN'!R$216</f>
        <v>0</v>
      </c>
    </row>
    <row r="20" spans="1:26" s="126" customFormat="1" x14ac:dyDescent="0.25">
      <c r="A20" s="203"/>
      <c r="B20" s="204"/>
      <c r="C20" s="205"/>
      <c r="D20" s="206"/>
      <c r="E20" s="236" t="str">
        <f>'Calcs-WWN'!E$221</f>
        <v>Revenue adjustment for return - real - WWN</v>
      </c>
      <c r="F20" s="301"/>
      <c r="G20" s="301" t="str">
        <f>'Calcs-WWN'!G$221</f>
        <v>£m</v>
      </c>
      <c r="H20" s="340">
        <f>'Calcs-WWN'!H$221</f>
        <v>2.0630787116950247</v>
      </c>
      <c r="I20" s="340"/>
      <c r="J20" s="340">
        <f>'Calcs-WWN'!J$221</f>
        <v>0</v>
      </c>
      <c r="K20" s="340">
        <f>'Calcs-WWN'!K$221</f>
        <v>0</v>
      </c>
      <c r="L20" s="340">
        <f>'Calcs-WWN'!L$221</f>
        <v>0</v>
      </c>
      <c r="M20" s="340">
        <f>'Calcs-WWN'!M$221</f>
        <v>-8.2473499301945072E-2</v>
      </c>
      <c r="N20" s="340">
        <f>'Calcs-WWN'!N$221</f>
        <v>0.15668539102416382</v>
      </c>
      <c r="O20" s="340">
        <f>'Calcs-WWN'!O$221</f>
        <v>0.72718797357762777</v>
      </c>
      <c r="P20" s="340">
        <f>'Calcs-WWN'!P$221</f>
        <v>0.66127014945461604</v>
      </c>
      <c r="Q20" s="340">
        <f>'Calcs-WWN'!Q$221</f>
        <v>0.60040869694056198</v>
      </c>
      <c r="R20" s="340">
        <f>'Calcs-WWN'!R$221</f>
        <v>0</v>
      </c>
    </row>
    <row r="21" spans="1:26" s="126" customFormat="1" x14ac:dyDescent="0.25">
      <c r="A21" s="203"/>
      <c r="B21" s="204"/>
      <c r="C21" s="205"/>
      <c r="D21" s="206"/>
      <c r="E21" s="236"/>
      <c r="F21" s="301"/>
      <c r="G21" s="301"/>
      <c r="H21" s="340"/>
      <c r="I21" s="340"/>
      <c r="J21" s="340"/>
      <c r="K21" s="340"/>
      <c r="L21" s="340"/>
      <c r="M21" s="340"/>
      <c r="N21" s="340"/>
      <c r="O21" s="340"/>
      <c r="P21" s="340"/>
      <c r="Q21" s="340"/>
      <c r="R21" s="340"/>
    </row>
    <row r="22" spans="1:26" x14ac:dyDescent="0.25">
      <c r="B22" s="80" t="s">
        <v>351</v>
      </c>
    </row>
    <row r="23" spans="1:26" s="126" customFormat="1" x14ac:dyDescent="0.25">
      <c r="A23" s="203"/>
      <c r="B23" s="204"/>
      <c r="C23" s="205"/>
      <c r="D23" s="206"/>
      <c r="E23" s="236" t="str">
        <f>'Calcs-BR'!E$178</f>
        <v>RCV adjustment at end of period - real - BR</v>
      </c>
      <c r="F23" s="301"/>
      <c r="G23" s="301" t="str">
        <f>'Calcs-BR'!G$178</f>
        <v>£m</v>
      </c>
      <c r="H23" s="340">
        <f>'Calcs-BR'!H$178</f>
        <v>0</v>
      </c>
      <c r="I23" s="340"/>
      <c r="J23" s="340">
        <f>'Calcs-BR'!J$178</f>
        <v>0</v>
      </c>
      <c r="K23" s="340">
        <f>'Calcs-BR'!K$178</f>
        <v>0</v>
      </c>
      <c r="L23" s="340">
        <f>'Calcs-BR'!L$178</f>
        <v>0</v>
      </c>
      <c r="M23" s="340">
        <f>'Calcs-BR'!M$178</f>
        <v>0</v>
      </c>
      <c r="N23" s="340">
        <f>'Calcs-BR'!N$178</f>
        <v>0</v>
      </c>
      <c r="O23" s="340">
        <f>'Calcs-BR'!O$178</f>
        <v>0</v>
      </c>
      <c r="P23" s="340">
        <f>'Calcs-BR'!P$178</f>
        <v>0</v>
      </c>
      <c r="Q23" s="340">
        <f>'Calcs-BR'!Q$178</f>
        <v>1.7365517461437889</v>
      </c>
      <c r="R23" s="340">
        <f>'Calcs-BR'!R$178</f>
        <v>0</v>
      </c>
    </row>
    <row r="24" spans="1:26" s="126" customFormat="1" x14ac:dyDescent="0.25">
      <c r="A24" s="203"/>
      <c r="B24" s="204"/>
      <c r="C24" s="205"/>
      <c r="D24" s="206"/>
      <c r="E24" s="236" t="str">
        <f>'Calcs-BR'!E$216</f>
        <v>Revenue adjustment for RCV run-off - real - BR</v>
      </c>
      <c r="F24" s="301"/>
      <c r="G24" s="301" t="str">
        <f>'Calcs-BR'!G$216</f>
        <v>£m</v>
      </c>
      <c r="H24" s="340">
        <f>'Calcs-BR'!H$216</f>
        <v>0.51665553347053139</v>
      </c>
      <c r="I24" s="340"/>
      <c r="J24" s="340">
        <f>'Calcs-BR'!J$216</f>
        <v>0</v>
      </c>
      <c r="K24" s="340">
        <f>'Calcs-BR'!K$216</f>
        <v>0</v>
      </c>
      <c r="L24" s="340">
        <f>'Calcs-BR'!L$216</f>
        <v>0</v>
      </c>
      <c r="M24" s="340">
        <f>'Calcs-BR'!M$216</f>
        <v>-2.2914749372214518E-2</v>
      </c>
      <c r="N24" s="340">
        <f>'Calcs-BR'!N$216</f>
        <v>4.2000304940215574E-2</v>
      </c>
      <c r="O24" s="340">
        <f>'Calcs-BR'!O$216</f>
        <v>0.18805889228564657</v>
      </c>
      <c r="P24" s="340">
        <f>'Calcs-BR'!P$216</f>
        <v>0.16498685821530204</v>
      </c>
      <c r="Q24" s="340">
        <f>'Calcs-BR'!Q$216</f>
        <v>0.14452422740158166</v>
      </c>
      <c r="R24" s="340">
        <f>'Calcs-BR'!R$216</f>
        <v>0</v>
      </c>
    </row>
    <row r="25" spans="1:26" s="126" customFormat="1" x14ac:dyDescent="0.25">
      <c r="A25" s="203"/>
      <c r="B25" s="204"/>
      <c r="C25" s="205"/>
      <c r="D25" s="206"/>
      <c r="E25" s="236" t="str">
        <f>'Calcs-BR'!E$221</f>
        <v>Revenue adjustment for return - real - BR</v>
      </c>
      <c r="F25" s="301"/>
      <c r="G25" s="301" t="str">
        <f>'Calcs-BR'!G$221</f>
        <v>£m</v>
      </c>
      <c r="H25" s="340">
        <f>'Calcs-BR'!H$221</f>
        <v>0.13770066609187057</v>
      </c>
      <c r="I25" s="340"/>
      <c r="J25" s="340">
        <f>'Calcs-BR'!J$221</f>
        <v>0</v>
      </c>
      <c r="K25" s="340">
        <f>'Calcs-BR'!K$221</f>
        <v>0</v>
      </c>
      <c r="L25" s="340">
        <f>'Calcs-BR'!L$221</f>
        <v>0</v>
      </c>
      <c r="M25" s="340">
        <f>'Calcs-BR'!M$221</f>
        <v>-6.1073114434423295E-3</v>
      </c>
      <c r="N25" s="340">
        <f>'Calcs-BR'!N$221</f>
        <v>1.1194054048893889E-2</v>
      </c>
      <c r="O25" s="340">
        <f>'Calcs-BR'!O$221</f>
        <v>5.0122050485519383E-2</v>
      </c>
      <c r="P25" s="340">
        <f>'Calcs-BR'!P$221</f>
        <v>4.3972819027105321E-2</v>
      </c>
      <c r="Q25" s="340">
        <f>'Calcs-BR'!Q$221</f>
        <v>3.8519053973794293E-2</v>
      </c>
      <c r="R25" s="340">
        <f>'Calcs-BR'!R$221</f>
        <v>0</v>
      </c>
    </row>
    <row r="26" spans="1:26" s="126" customFormat="1" x14ac:dyDescent="0.25">
      <c r="A26" s="203"/>
      <c r="B26" s="204"/>
      <c r="C26" s="205"/>
      <c r="D26" s="206"/>
      <c r="E26" s="236"/>
      <c r="F26" s="301"/>
      <c r="G26" s="301"/>
      <c r="H26" s="340"/>
      <c r="I26" s="340"/>
      <c r="J26" s="340"/>
      <c r="K26" s="340"/>
      <c r="L26" s="340"/>
      <c r="M26" s="340"/>
      <c r="N26" s="340"/>
      <c r="O26" s="340"/>
      <c r="P26" s="340"/>
      <c r="Q26" s="340"/>
      <c r="R26" s="340"/>
    </row>
    <row r="27" spans="1:26" x14ac:dyDescent="0.25">
      <c r="B27" s="80" t="s">
        <v>352</v>
      </c>
    </row>
    <row r="28" spans="1:26" s="126" customFormat="1" x14ac:dyDescent="0.25">
      <c r="A28" s="203"/>
      <c r="B28" s="204"/>
      <c r="C28" s="205"/>
      <c r="D28" s="206"/>
      <c r="E28" s="236" t="str">
        <f>'Calcs-DMMY'!E$178</f>
        <v>RCV adjustment at end of period - real - DMMY</v>
      </c>
      <c r="F28" s="301"/>
      <c r="G28" s="301" t="str">
        <f>'Calcs-DMMY'!G$178</f>
        <v>£m</v>
      </c>
      <c r="H28" s="340">
        <f>'Calcs-DMMY'!H$178</f>
        <v>0</v>
      </c>
      <c r="I28" s="340"/>
      <c r="J28" s="340">
        <f>'Calcs-DMMY'!J$178</f>
        <v>0</v>
      </c>
      <c r="K28" s="340">
        <f>'Calcs-DMMY'!K$178</f>
        <v>0</v>
      </c>
      <c r="L28" s="340">
        <f>'Calcs-DMMY'!L$178</f>
        <v>0</v>
      </c>
      <c r="M28" s="340">
        <f>'Calcs-DMMY'!M$178</f>
        <v>0</v>
      </c>
      <c r="N28" s="340">
        <f>'Calcs-DMMY'!N$178</f>
        <v>0</v>
      </c>
      <c r="O28" s="340">
        <f>'Calcs-DMMY'!O$178</f>
        <v>0</v>
      </c>
      <c r="P28" s="340">
        <f>'Calcs-DMMY'!P$178</f>
        <v>0</v>
      </c>
      <c r="Q28" s="340">
        <f>'Calcs-DMMY'!Q$178</f>
        <v>0</v>
      </c>
      <c r="R28" s="340">
        <f>'Calcs-DMMY'!R$178</f>
        <v>0</v>
      </c>
    </row>
    <row r="29" spans="1:26" s="126" customFormat="1" x14ac:dyDescent="0.25">
      <c r="A29" s="203"/>
      <c r="B29" s="204"/>
      <c r="C29" s="205"/>
      <c r="D29" s="206"/>
      <c r="E29" s="236" t="str">
        <f>'Calcs-DMMY'!E$216</f>
        <v>Revenue adjustment for RCV run-off - real - DMMY</v>
      </c>
      <c r="F29" s="301"/>
      <c r="G29" s="301" t="str">
        <f>'Calcs-DMMY'!G$216</f>
        <v>£m</v>
      </c>
      <c r="H29" s="340">
        <f>'Calcs-DMMY'!H$216</f>
        <v>0</v>
      </c>
      <c r="I29" s="340"/>
      <c r="J29" s="340">
        <f>'Calcs-DMMY'!J$216</f>
        <v>0</v>
      </c>
      <c r="K29" s="340">
        <f>'Calcs-DMMY'!K$216</f>
        <v>0</v>
      </c>
      <c r="L29" s="340">
        <f>'Calcs-DMMY'!L$216</f>
        <v>0</v>
      </c>
      <c r="M29" s="340">
        <f>'Calcs-DMMY'!M$216</f>
        <v>0</v>
      </c>
      <c r="N29" s="340">
        <f>'Calcs-DMMY'!N$216</f>
        <v>0</v>
      </c>
      <c r="O29" s="340">
        <f>'Calcs-DMMY'!O$216</f>
        <v>0</v>
      </c>
      <c r="P29" s="340">
        <f>'Calcs-DMMY'!P$216</f>
        <v>0</v>
      </c>
      <c r="Q29" s="340">
        <f>'Calcs-DMMY'!Q$216</f>
        <v>0</v>
      </c>
      <c r="R29" s="340">
        <f>'Calcs-DMMY'!R$216</f>
        <v>0</v>
      </c>
    </row>
    <row r="30" spans="1:26" s="126" customFormat="1" x14ac:dyDescent="0.25">
      <c r="A30" s="203"/>
      <c r="B30" s="204"/>
      <c r="C30" s="205"/>
      <c r="D30" s="206"/>
      <c r="E30" s="236" t="str">
        <f>'Calcs-DMMY'!E$221</f>
        <v>Revenue adjustment for return - real - DMMY</v>
      </c>
      <c r="F30" s="301"/>
      <c r="G30" s="301" t="str">
        <f>'Calcs-DMMY'!G$221</f>
        <v>£m</v>
      </c>
      <c r="H30" s="340">
        <f>'Calcs-DMMY'!H$221</f>
        <v>0</v>
      </c>
      <c r="I30" s="340"/>
      <c r="J30" s="340">
        <f>'Calcs-DMMY'!J$221</f>
        <v>0</v>
      </c>
      <c r="K30" s="340">
        <f>'Calcs-DMMY'!K$221</f>
        <v>0</v>
      </c>
      <c r="L30" s="340">
        <f>'Calcs-DMMY'!L$221</f>
        <v>0</v>
      </c>
      <c r="M30" s="340">
        <f>'Calcs-DMMY'!M$221</f>
        <v>0</v>
      </c>
      <c r="N30" s="340">
        <f>'Calcs-DMMY'!N$221</f>
        <v>0</v>
      </c>
      <c r="O30" s="340">
        <f>'Calcs-DMMY'!O$221</f>
        <v>0</v>
      </c>
      <c r="P30" s="340">
        <f>'Calcs-DMMY'!P$221</f>
        <v>0</v>
      </c>
      <c r="Q30" s="340">
        <f>'Calcs-DMMY'!Q$221</f>
        <v>0</v>
      </c>
      <c r="R30" s="340">
        <f>'Calcs-DMMY'!R$221</f>
        <v>0</v>
      </c>
    </row>
    <row r="31" spans="1:26" s="126" customFormat="1" x14ac:dyDescent="0.25">
      <c r="A31" s="203"/>
      <c r="B31" s="204"/>
      <c r="C31" s="205"/>
      <c r="D31" s="206"/>
      <c r="E31" s="236"/>
      <c r="F31" s="301"/>
      <c r="G31" s="301"/>
      <c r="H31" s="340"/>
      <c r="I31" s="340"/>
      <c r="J31" s="340"/>
      <c r="K31" s="340"/>
      <c r="L31" s="340"/>
      <c r="M31" s="340"/>
      <c r="N31" s="340"/>
      <c r="O31" s="340"/>
      <c r="P31" s="340"/>
      <c r="Q31" s="340"/>
      <c r="R31" s="340"/>
    </row>
    <row r="32" spans="1:26" x14ac:dyDescent="0.3">
      <c r="A32" s="14" t="s">
        <v>62</v>
      </c>
      <c r="B32" s="1"/>
      <c r="C32" s="1"/>
      <c r="D32" s="1"/>
      <c r="E32" s="1"/>
      <c r="F32" s="1"/>
      <c r="G32" s="1"/>
      <c r="H32" s="1"/>
      <c r="I32" s="1"/>
      <c r="J32" s="1"/>
      <c r="K32" s="1"/>
      <c r="L32" s="1"/>
      <c r="M32" s="1"/>
      <c r="N32" s="1"/>
      <c r="O32" s="1"/>
      <c r="P32" s="1"/>
      <c r="Q32" s="1"/>
      <c r="R32" s="1"/>
      <c r="S32" s="56"/>
      <c r="T32" s="56"/>
      <c r="U32" s="56"/>
      <c r="V32" s="56"/>
      <c r="W32" s="56"/>
      <c r="X32" s="56"/>
      <c r="Y32" s="56"/>
      <c r="Z32" s="56"/>
    </row>
    <row r="34" spans="10:18" x14ac:dyDescent="0.25">
      <c r="J34" s="340"/>
      <c r="K34" s="340"/>
      <c r="L34" s="340"/>
      <c r="M34" s="340"/>
      <c r="N34" s="340"/>
      <c r="O34" s="340"/>
      <c r="P34" s="340"/>
      <c r="Q34" s="340"/>
      <c r="R34" s="340"/>
    </row>
    <row r="35" spans="10:18" x14ac:dyDescent="0.25">
      <c r="J35" s="340"/>
      <c r="K35" s="340"/>
      <c r="L35" s="340"/>
      <c r="M35" s="340"/>
      <c r="N35" s="340"/>
      <c r="O35" s="340"/>
      <c r="P35" s="340"/>
      <c r="Q35" s="340"/>
      <c r="R35" s="340"/>
    </row>
    <row r="36" spans="10:18" x14ac:dyDescent="0.25">
      <c r="J36" s="340"/>
      <c r="K36" s="340"/>
      <c r="L36" s="340"/>
      <c r="M36" s="340"/>
      <c r="N36" s="340"/>
      <c r="O36" s="340"/>
      <c r="P36" s="340"/>
      <c r="Q36" s="340"/>
      <c r="R36" s="340"/>
    </row>
  </sheetData>
  <conditionalFormatting sqref="J3:Z3">
    <cfRule type="cellIs" dxfId="17" priority="8" operator="equal">
      <formula>"Post-Fcst"</formula>
    </cfRule>
    <cfRule type="cellIs" dxfId="16" priority="9" operator="equal">
      <formula>"Forecast"</formula>
    </cfRule>
    <cfRule type="cellIs" dxfId="15" priority="10" operator="equal">
      <formula>"Pre Fcst"</formula>
    </cfRule>
  </conditionalFormatting>
  <conditionalFormatting sqref="F2">
    <cfRule type="cellIs" dxfId="14" priority="4" stopIfTrue="1" operator="notEqual">
      <formula>0</formula>
    </cfRule>
    <cfRule type="cellIs" dxfId="13" priority="5" stopIfTrue="1" operator="equal">
      <formula>""</formula>
    </cfRule>
  </conditionalFormatting>
  <pageMargins left="0.70866141732283472" right="0.70866141732283472" top="0.74803149606299213" bottom="0.74803149606299213" header="0.31496062992125984" footer="0.31496062992125984"/>
  <pageSetup paperSize="9" scale="48"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CFFFF"/>
    <outlinePr summaryBelow="0" summaryRight="0"/>
    <pageSetUpPr fitToPage="1"/>
  </sheetPr>
  <dimension ref="A1:CA22"/>
  <sheetViews>
    <sheetView zoomScaleNormal="100" workbookViewId="0"/>
  </sheetViews>
  <sheetFormatPr defaultColWidth="0" defaultRowHeight="13" x14ac:dyDescent="0.25"/>
  <cols>
    <col min="1" max="1" width="1.453125" style="13" customWidth="1"/>
    <col min="2" max="3" width="1.453125" style="10" customWidth="1"/>
    <col min="4" max="4" width="1.453125" style="11" customWidth="1"/>
    <col min="5" max="5" width="48" style="8" bestFit="1" customWidth="1"/>
    <col min="6" max="6" width="12.54296875" style="8" customWidth="1"/>
    <col min="7" max="8" width="11.54296875" style="8" customWidth="1"/>
    <col min="9" max="9" width="2.54296875" style="8" customWidth="1"/>
    <col min="10" max="18" width="11.54296875" style="8" customWidth="1"/>
    <col min="19" max="79" width="11.54296875" style="8" hidden="1" customWidth="1"/>
    <col min="80" max="16384" width="0" style="8" hidden="1"/>
  </cols>
  <sheetData>
    <row r="1" spans="1:26" s="156" customFormat="1" ht="25" x14ac:dyDescent="0.5">
      <c r="A1" s="152" t="str">
        <f ca="1" xml:space="preserve"> RIGHT(CELL("filename", $A$1), LEN(CELL("filename", $A$1)) - SEARCH("]", CELL("filename", $A$1)))</f>
        <v>Checks</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t="str">
        <f>Time!E$11</f>
        <v>Model column counter</v>
      </c>
      <c r="F5" s="31" t="s">
        <v>72</v>
      </c>
      <c r="G5" s="31" t="s">
        <v>73</v>
      </c>
      <c r="H5" s="31" t="s">
        <v>93</v>
      </c>
      <c r="I5" s="32"/>
      <c r="J5" s="32">
        <f>Time!J$11</f>
        <v>1</v>
      </c>
      <c r="K5" s="32">
        <f>Time!K$11</f>
        <v>2</v>
      </c>
      <c r="L5" s="32">
        <f>Time!L$11</f>
        <v>3</v>
      </c>
      <c r="M5" s="32">
        <f>Time!M$11</f>
        <v>4</v>
      </c>
      <c r="N5" s="32">
        <f>Time!N$11</f>
        <v>5</v>
      </c>
      <c r="O5" s="32">
        <f>Time!O$11</f>
        <v>6</v>
      </c>
      <c r="P5" s="32">
        <f>Time!P$11</f>
        <v>7</v>
      </c>
      <c r="Q5" s="32">
        <f>Time!Q$11</f>
        <v>8</v>
      </c>
      <c r="R5" s="32">
        <f>Time!R$11</f>
        <v>9</v>
      </c>
      <c r="S5" s="35"/>
      <c r="T5" s="35"/>
      <c r="U5" s="35"/>
      <c r="V5" s="35"/>
      <c r="W5" s="35"/>
      <c r="X5" s="35"/>
      <c r="Y5" s="35"/>
      <c r="Z5" s="35"/>
    </row>
    <row r="7" spans="1:26" x14ac:dyDescent="0.25">
      <c r="A7" s="13" t="s">
        <v>166</v>
      </c>
      <c r="B7" s="58"/>
      <c r="C7" s="58"/>
      <c r="D7" s="57"/>
      <c r="E7" s="56"/>
      <c r="F7" s="56"/>
      <c r="G7" s="56"/>
      <c r="H7" s="56"/>
      <c r="I7" s="56"/>
      <c r="J7" s="56"/>
      <c r="K7" s="56"/>
      <c r="L7" s="56"/>
      <c r="M7" s="56"/>
      <c r="N7" s="56"/>
      <c r="O7" s="56"/>
      <c r="P7" s="56"/>
      <c r="Q7" s="56"/>
      <c r="R7" s="56"/>
      <c r="S7" s="56"/>
      <c r="T7" s="56"/>
      <c r="U7" s="56"/>
      <c r="V7" s="56"/>
      <c r="W7" s="56"/>
      <c r="X7" s="56"/>
      <c r="Y7" s="56"/>
      <c r="Z7" s="56"/>
    </row>
    <row r="9" spans="1:26" x14ac:dyDescent="0.25">
      <c r="B9" s="58"/>
      <c r="C9" s="58"/>
      <c r="D9" s="57"/>
      <c r="E9" s="56" t="s">
        <v>167</v>
      </c>
      <c r="F9" s="38">
        <f>SUM(F11:F20)</f>
        <v>0</v>
      </c>
      <c r="G9" s="56" t="s">
        <v>168</v>
      </c>
      <c r="H9" s="56"/>
      <c r="I9" s="56"/>
      <c r="J9" s="56"/>
      <c r="K9" s="56"/>
      <c r="L9" s="56"/>
      <c r="M9" s="56"/>
      <c r="N9" s="56"/>
      <c r="O9" s="56"/>
      <c r="P9" s="56"/>
      <c r="Q9" s="56"/>
      <c r="R9" s="56"/>
      <c r="S9" s="56"/>
      <c r="T9" s="56"/>
      <c r="U9" s="56"/>
      <c r="V9" s="56"/>
      <c r="W9" s="56"/>
      <c r="X9" s="56"/>
      <c r="Y9" s="56"/>
      <c r="Z9" s="56"/>
    </row>
    <row r="11" spans="1:26" s="17" customFormat="1" x14ac:dyDescent="0.25">
      <c r="A11" s="20"/>
      <c r="B11" s="19"/>
      <c r="C11" s="19"/>
      <c r="D11" s="18"/>
      <c r="E11" s="17" t="s">
        <v>169</v>
      </c>
      <c r="F11" s="17" t="s">
        <v>170</v>
      </c>
    </row>
    <row r="13" spans="1:26" x14ac:dyDescent="0.25">
      <c r="B13" s="58"/>
      <c r="C13" s="58"/>
      <c r="D13" s="57"/>
      <c r="E13" s="56" t="str">
        <f xml:space="preserve"> Time!E$78</f>
        <v>Modelling Period Check</v>
      </c>
      <c r="F13" s="43">
        <f xml:space="preserve"> Time!F$78</f>
        <v>0</v>
      </c>
      <c r="G13" s="56" t="str">
        <f xml:space="preserve"> Time!G$78</f>
        <v>check</v>
      </c>
      <c r="H13" s="56"/>
      <c r="I13" s="56"/>
      <c r="J13" s="56"/>
      <c r="K13" s="56"/>
      <c r="L13" s="56"/>
      <c r="M13" s="56"/>
      <c r="N13" s="56"/>
      <c r="O13" s="56"/>
      <c r="P13" s="56"/>
      <c r="Q13" s="56"/>
      <c r="R13" s="56"/>
      <c r="S13" s="56"/>
      <c r="T13" s="56"/>
      <c r="U13" s="56"/>
      <c r="V13" s="56"/>
      <c r="W13" s="56"/>
      <c r="X13" s="56"/>
      <c r="Y13" s="56"/>
      <c r="Z13" s="56"/>
    </row>
    <row r="14" spans="1:26" s="56" customFormat="1" x14ac:dyDescent="0.25">
      <c r="A14" s="13"/>
      <c r="B14" s="58"/>
      <c r="C14" s="58"/>
      <c r="D14" s="57"/>
      <c r="E14" s="56" t="str">
        <f>'Calcs-WR'!E$165 &amp; "-WR"</f>
        <v>True-up correctly calculates revenue adjustment-WR</v>
      </c>
      <c r="F14" s="43">
        <f>'Calcs-WR'!F$165</f>
        <v>0</v>
      </c>
      <c r="G14" s="56" t="str">
        <f>'Calcs-WR'!G$165</f>
        <v>check</v>
      </c>
    </row>
    <row r="15" spans="1:26" s="56" customFormat="1" x14ac:dyDescent="0.25">
      <c r="A15" s="13"/>
      <c r="B15" s="58"/>
      <c r="C15" s="58"/>
      <c r="D15" s="57"/>
      <c r="E15" s="56" t="str">
        <f>'Calcs-WN'!E$165 &amp; "-WN"</f>
        <v>True-up correctly calculates revenue adjustment-WN</v>
      </c>
      <c r="F15" s="43">
        <f>'Calcs-WN'!F$165</f>
        <v>0</v>
      </c>
      <c r="G15" s="56" t="str">
        <f>'Calcs-WN'!G$165</f>
        <v>check</v>
      </c>
    </row>
    <row r="16" spans="1:26" s="56" customFormat="1" x14ac:dyDescent="0.25">
      <c r="A16" s="13"/>
      <c r="B16" s="58"/>
      <c r="C16" s="58"/>
      <c r="D16" s="57"/>
      <c r="E16" s="56" t="str">
        <f>'Calcs-WWN'!E$165 &amp; "-WWN"</f>
        <v>True-up correctly calculates revenue adjustment-WWN</v>
      </c>
      <c r="F16" s="43">
        <f>'Calcs-WWN'!F$165</f>
        <v>0</v>
      </c>
      <c r="G16" s="56" t="str">
        <f>'Calcs-WWN'!G$165</f>
        <v>check</v>
      </c>
    </row>
    <row r="17" spans="1:7" s="56" customFormat="1" x14ac:dyDescent="0.25">
      <c r="A17" s="13"/>
      <c r="B17" s="58"/>
      <c r="C17" s="58"/>
      <c r="D17" s="57"/>
      <c r="E17" s="56" t="str">
        <f>'Calcs-BR'!E$165 &amp; "-BR"</f>
        <v>True-up correctly calculates revenue adjustment-BR</v>
      </c>
      <c r="F17" s="43">
        <f>'Calcs-BR'!F$165</f>
        <v>0</v>
      </c>
      <c r="G17" s="56" t="str">
        <f>'Calcs-BR'!G$165</f>
        <v>check</v>
      </c>
    </row>
    <row r="18" spans="1:7" s="56" customFormat="1" x14ac:dyDescent="0.25">
      <c r="A18" s="13"/>
      <c r="B18" s="58"/>
      <c r="C18" s="58"/>
      <c r="D18" s="57"/>
      <c r="E18" s="56" t="str">
        <f>'Calcs-DMMY'!E$165 &amp; "-DMMY"</f>
        <v>True-up correctly calculates revenue adjustment-DMMY</v>
      </c>
      <c r="F18" s="43">
        <f>'Calcs-DMMY'!F$165</f>
        <v>0</v>
      </c>
      <c r="G18" s="56" t="str">
        <f>'Calcs-DMMY'!G$165</f>
        <v>check</v>
      </c>
    </row>
    <row r="20" spans="1:7" s="17" customFormat="1" x14ac:dyDescent="0.25">
      <c r="A20" s="20"/>
      <c r="B20" s="19"/>
      <c r="C20" s="19"/>
      <c r="D20" s="18"/>
      <c r="E20" s="17" t="s">
        <v>169</v>
      </c>
      <c r="F20" s="17" t="s">
        <v>171</v>
      </c>
    </row>
    <row r="22" spans="1:7" s="1" customFormat="1" x14ac:dyDescent="0.3">
      <c r="A22" s="14" t="s">
        <v>62</v>
      </c>
    </row>
  </sheetData>
  <conditionalFormatting sqref="F13 F15">
    <cfRule type="cellIs" dxfId="12" priority="28" stopIfTrue="1" operator="notEqual">
      <formula>0</formula>
    </cfRule>
    <cfRule type="cellIs" dxfId="11" priority="29" stopIfTrue="1" operator="equal">
      <formula>""</formula>
    </cfRule>
  </conditionalFormatting>
  <conditionalFormatting sqref="F9">
    <cfRule type="cellIs" dxfId="10" priority="26" stopIfTrue="1" operator="notEqual">
      <formula>0</formula>
    </cfRule>
    <cfRule type="cellIs" dxfId="9" priority="27" stopIfTrue="1" operator="equal">
      <formula>""</formula>
    </cfRule>
  </conditionalFormatting>
  <conditionalFormatting sqref="J3:Z3">
    <cfRule type="cellIs" dxfId="8" priority="16" operator="equal">
      <formula>"Post-Fcst"</formula>
    </cfRule>
    <cfRule type="cellIs" dxfId="7" priority="17" operator="equal">
      <formula>"Forecast"</formula>
    </cfRule>
    <cfRule type="cellIs" dxfId="6" priority="18" operator="equal">
      <formula>"Pre Fcst"</formula>
    </cfRule>
  </conditionalFormatting>
  <conditionalFormatting sqref="F2">
    <cfRule type="cellIs" dxfId="5" priority="12" stopIfTrue="1" operator="notEqual">
      <formula>0</formula>
    </cfRule>
    <cfRule type="cellIs" dxfId="4" priority="13" stopIfTrue="1" operator="equal">
      <formula>""</formula>
    </cfRule>
  </conditionalFormatting>
  <conditionalFormatting sqref="F14">
    <cfRule type="cellIs" dxfId="3" priority="3" stopIfTrue="1" operator="notEqual">
      <formula>0</formula>
    </cfRule>
    <cfRule type="cellIs" dxfId="2" priority="4" stopIfTrue="1" operator="equal">
      <formula>""</formula>
    </cfRule>
  </conditionalFormatting>
  <conditionalFormatting sqref="F16:F18">
    <cfRule type="cellIs" dxfId="1" priority="1" stopIfTrue="1" operator="notEqual">
      <formula>0</formula>
    </cfRule>
    <cfRule type="cellIs" dxfId="0" priority="2" stopIfTrue="1" operator="equal">
      <formula>""</formula>
    </cfRule>
  </conditionalFormatting>
  <pageMargins left="0.70866141732283472" right="0.70866141732283472" top="0.74803149606299213" bottom="0.74803149606299213" header="0.31496062992125984" footer="0.31496062992125984"/>
  <pageSetup paperSize="9" scale="51"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C178"/>
  <sheetViews>
    <sheetView zoomScaleNormal="100" workbookViewId="0"/>
  </sheetViews>
  <sheetFormatPr defaultColWidth="0" defaultRowHeight="12.5" zeroHeight="1" x14ac:dyDescent="0.25"/>
  <cols>
    <col min="1" max="4" width="2.54296875" customWidth="1"/>
    <col min="5" max="5" width="36.81640625" bestFit="1" customWidth="1"/>
    <col min="6" max="6" width="5.54296875" customWidth="1"/>
    <col min="7" max="8" width="9.1796875" customWidth="1"/>
    <col min="9" max="9" width="94.1796875" customWidth="1"/>
    <col min="10" max="16383" width="9.1796875" hidden="1"/>
    <col min="16384" max="16384" width="12.453125" hidden="1" customWidth="1"/>
  </cols>
  <sheetData>
    <row r="1" spans="1:9" s="156" customFormat="1" ht="25" x14ac:dyDescent="0.5">
      <c r="A1" s="152" t="str">
        <f ca="1" xml:space="preserve"> RIGHT(CELL("filename", $A$1), LEN(CELL("filename", $A$1)) - SEARCH("]", CELL("filename", $A$1)))</f>
        <v>Style Guide</v>
      </c>
    </row>
    <row r="2" spans="1:9" s="63" customFormat="1" x14ac:dyDescent="0.25"/>
    <row r="3" spans="1:9" s="63" customFormat="1" x14ac:dyDescent="0.25"/>
    <row r="4" spans="1:9" s="63" customFormat="1" ht="13" x14ac:dyDescent="0.25">
      <c r="A4" s="174" t="s">
        <v>3</v>
      </c>
      <c r="B4" s="174"/>
      <c r="C4" s="175"/>
      <c r="D4" s="176"/>
      <c r="E4" s="174"/>
      <c r="F4" s="174"/>
      <c r="G4" s="174"/>
      <c r="H4" s="174"/>
      <c r="I4" s="174"/>
    </row>
    <row r="5" spans="1:9" s="63" customFormat="1" ht="13" x14ac:dyDescent="0.25">
      <c r="A5" s="13"/>
      <c r="B5" s="13"/>
      <c r="C5" s="12"/>
      <c r="D5" s="57"/>
      <c r="E5" s="59"/>
      <c r="F5" s="59"/>
      <c r="G5" s="59"/>
      <c r="H5" s="59"/>
      <c r="I5" s="59"/>
    </row>
    <row r="6" spans="1:9" s="63" customFormat="1" ht="13" x14ac:dyDescent="0.25">
      <c r="A6" s="13"/>
      <c r="B6" s="13"/>
      <c r="C6" s="12"/>
      <c r="D6" s="57"/>
      <c r="E6" s="177" t="s">
        <v>4</v>
      </c>
      <c r="F6" s="56"/>
      <c r="G6" s="56" t="s">
        <v>5</v>
      </c>
      <c r="H6" s="59"/>
      <c r="I6" s="59"/>
    </row>
    <row r="7" spans="1:9" s="63" customFormat="1" ht="13" x14ac:dyDescent="0.25">
      <c r="A7" s="13"/>
      <c r="B7" s="13"/>
      <c r="C7" s="12"/>
      <c r="D7" s="57"/>
      <c r="E7" s="178"/>
      <c r="F7" s="56"/>
      <c r="G7" s="56"/>
      <c r="H7" s="59"/>
      <c r="I7" s="59"/>
    </row>
    <row r="8" spans="1:9" s="63" customFormat="1" ht="13" x14ac:dyDescent="0.25">
      <c r="A8" s="13"/>
      <c r="B8" s="13"/>
      <c r="C8" s="12"/>
      <c r="D8" s="57"/>
      <c r="E8" s="179" t="s">
        <v>6</v>
      </c>
      <c r="F8" s="56"/>
      <c r="G8" s="56" t="s">
        <v>7</v>
      </c>
      <c r="H8" s="59"/>
      <c r="I8" s="59"/>
    </row>
    <row r="9" spans="1:9" s="63" customFormat="1" ht="13" x14ac:dyDescent="0.25">
      <c r="A9" s="13"/>
      <c r="B9" s="13"/>
      <c r="C9" s="12"/>
      <c r="D9" s="57"/>
      <c r="E9" s="178"/>
      <c r="F9" s="56"/>
      <c r="G9" s="56"/>
      <c r="H9" s="59"/>
      <c r="I9" s="59"/>
    </row>
    <row r="10" spans="1:9" s="63" customFormat="1" ht="13" x14ac:dyDescent="0.25">
      <c r="A10" s="13"/>
      <c r="B10" s="13"/>
      <c r="C10" s="12"/>
      <c r="D10" s="57"/>
      <c r="E10" s="180" t="s">
        <v>8</v>
      </c>
      <c r="F10" s="56"/>
      <c r="G10" s="56" t="s">
        <v>9</v>
      </c>
      <c r="H10" s="59"/>
      <c r="I10" s="59"/>
    </row>
    <row r="11" spans="1:9" s="63" customFormat="1" ht="13" x14ac:dyDescent="0.25">
      <c r="A11" s="13"/>
      <c r="B11" s="13"/>
      <c r="C11" s="12"/>
      <c r="D11" s="57"/>
      <c r="E11" s="178"/>
      <c r="F11" s="56"/>
      <c r="G11" s="56"/>
      <c r="H11" s="59"/>
      <c r="I11" s="59"/>
    </row>
    <row r="12" spans="1:9" s="63" customFormat="1" ht="13" x14ac:dyDescent="0.25">
      <c r="A12" s="13"/>
      <c r="B12" s="13"/>
      <c r="C12" s="12"/>
      <c r="D12" s="57"/>
      <c r="E12" s="181" t="s">
        <v>10</v>
      </c>
      <c r="F12" s="56"/>
      <c r="G12" s="56" t="s">
        <v>11</v>
      </c>
      <c r="H12" s="59"/>
      <c r="I12" s="59"/>
    </row>
    <row r="13" spans="1:9" s="63" customFormat="1" ht="13" x14ac:dyDescent="0.25">
      <c r="A13" s="13"/>
      <c r="B13" s="13"/>
      <c r="C13" s="12"/>
      <c r="D13" s="57"/>
      <c r="E13" s="178"/>
      <c r="F13" s="56"/>
      <c r="G13" s="56"/>
      <c r="H13" s="59"/>
      <c r="I13" s="59"/>
    </row>
    <row r="14" spans="1:9" s="63" customFormat="1" ht="13" x14ac:dyDescent="0.25">
      <c r="A14" s="13"/>
      <c r="B14" s="13"/>
      <c r="C14" s="12"/>
      <c r="D14" s="57"/>
      <c r="E14" s="182" t="s">
        <v>12</v>
      </c>
      <c r="F14" s="56"/>
      <c r="G14" s="56" t="s">
        <v>13</v>
      </c>
      <c r="H14" s="56"/>
      <c r="I14" s="56"/>
    </row>
    <row r="15" spans="1:9" s="63" customFormat="1" ht="13" x14ac:dyDescent="0.25">
      <c r="A15" s="13"/>
      <c r="B15" s="13"/>
      <c r="C15" s="12"/>
      <c r="D15" s="57"/>
      <c r="E15" s="56"/>
      <c r="F15" s="56"/>
      <c r="G15" s="56"/>
      <c r="H15" s="56"/>
      <c r="I15" s="56"/>
    </row>
    <row r="16" spans="1:9" s="63" customFormat="1" ht="13" x14ac:dyDescent="0.25">
      <c r="A16" s="13"/>
      <c r="B16" s="13"/>
      <c r="C16" s="12"/>
      <c r="D16" s="57"/>
      <c r="E16" s="56"/>
      <c r="F16" s="56"/>
      <c r="G16" s="56"/>
      <c r="H16" s="56"/>
      <c r="I16" s="56"/>
    </row>
    <row r="17" spans="1:9" ht="13" x14ac:dyDescent="0.25">
      <c r="A17" s="174" t="s">
        <v>14</v>
      </c>
      <c r="B17" s="174"/>
      <c r="C17" s="175"/>
      <c r="D17" s="176"/>
      <c r="E17" s="174"/>
      <c r="F17" s="174"/>
      <c r="G17" s="174"/>
      <c r="H17" s="174"/>
      <c r="I17" s="174"/>
    </row>
    <row r="18" spans="1:9" ht="13" x14ac:dyDescent="0.25">
      <c r="A18" s="31"/>
      <c r="B18" s="31"/>
      <c r="C18" s="40"/>
      <c r="D18" s="6"/>
      <c r="E18" s="59"/>
      <c r="F18" s="59"/>
      <c r="G18" s="59"/>
      <c r="H18" s="59"/>
      <c r="I18" s="59"/>
    </row>
    <row r="19" spans="1:9" ht="13" x14ac:dyDescent="0.25">
      <c r="A19" s="31"/>
      <c r="B19" s="31" t="s">
        <v>15</v>
      </c>
      <c r="C19" s="40"/>
      <c r="D19" s="6"/>
      <c r="E19" s="59"/>
      <c r="F19" s="59"/>
      <c r="G19" s="59"/>
      <c r="H19" s="59"/>
      <c r="I19" s="59"/>
    </row>
    <row r="20" spans="1:9" ht="13" x14ac:dyDescent="0.25">
      <c r="A20" s="31"/>
      <c r="B20" s="31"/>
      <c r="C20" s="40"/>
      <c r="D20" s="6"/>
      <c r="E20" s="49" t="s">
        <v>16</v>
      </c>
      <c r="F20" s="56"/>
      <c r="G20" s="7" t="s">
        <v>17</v>
      </c>
      <c r="H20" s="59"/>
      <c r="I20" s="59"/>
    </row>
    <row r="21" spans="1:9" ht="13" x14ac:dyDescent="0.25">
      <c r="A21" s="31"/>
      <c r="B21" s="31"/>
      <c r="C21" s="40"/>
      <c r="D21" s="6"/>
      <c r="E21" s="7"/>
      <c r="F21" s="56"/>
      <c r="G21" s="56"/>
      <c r="H21" s="59"/>
      <c r="I21" s="59"/>
    </row>
    <row r="22" spans="1:9" ht="13" x14ac:dyDescent="0.25">
      <c r="A22" s="31"/>
      <c r="B22" s="31"/>
      <c r="C22" s="40"/>
      <c r="D22" s="6"/>
      <c r="E22" s="2" t="s">
        <v>18</v>
      </c>
      <c r="F22" s="56"/>
      <c r="G22" s="7" t="s">
        <v>19</v>
      </c>
      <c r="H22" s="59"/>
      <c r="I22" s="59"/>
    </row>
    <row r="23" spans="1:9" ht="13" x14ac:dyDescent="0.25">
      <c r="A23" s="31"/>
      <c r="B23" s="31"/>
      <c r="C23" s="40"/>
      <c r="D23" s="6"/>
      <c r="E23" s="7"/>
      <c r="F23" s="56"/>
      <c r="G23" s="7"/>
      <c r="H23" s="59"/>
      <c r="I23" s="59"/>
    </row>
    <row r="24" spans="1:9" ht="13" x14ac:dyDescent="0.25">
      <c r="A24" s="31"/>
      <c r="B24" s="31"/>
      <c r="C24" s="40"/>
      <c r="D24" s="6"/>
      <c r="E24" s="7" t="s">
        <v>20</v>
      </c>
      <c r="F24" s="56"/>
      <c r="G24" s="59" t="s">
        <v>21</v>
      </c>
      <c r="H24" s="59"/>
      <c r="I24" s="59"/>
    </row>
    <row r="25" spans="1:9" ht="13" x14ac:dyDescent="0.25">
      <c r="A25" s="31"/>
      <c r="B25" s="31"/>
      <c r="C25" s="40"/>
      <c r="D25" s="6"/>
      <c r="E25" s="7"/>
      <c r="F25" s="56"/>
      <c r="G25" s="59"/>
      <c r="H25" s="59"/>
      <c r="I25" s="59"/>
    </row>
    <row r="26" spans="1:9" ht="13" x14ac:dyDescent="0.25">
      <c r="A26" s="31"/>
      <c r="B26" s="31" t="s">
        <v>22</v>
      </c>
      <c r="C26" s="40"/>
      <c r="D26" s="6"/>
      <c r="E26" s="7"/>
      <c r="F26" s="56"/>
      <c r="G26" s="7"/>
      <c r="H26" s="59"/>
      <c r="I26" s="59"/>
    </row>
    <row r="27" spans="1:9" ht="13" x14ac:dyDescent="0.25">
      <c r="A27" s="31"/>
      <c r="B27" s="31"/>
      <c r="C27" s="40"/>
      <c r="D27" s="6"/>
      <c r="E27" s="183" t="s">
        <v>23</v>
      </c>
      <c r="F27" s="56"/>
      <c r="G27" s="7" t="s">
        <v>24</v>
      </c>
      <c r="H27" s="59"/>
      <c r="I27" s="59"/>
    </row>
    <row r="28" spans="1:9" ht="13" x14ac:dyDescent="0.25">
      <c r="A28" s="31"/>
      <c r="B28" s="31"/>
      <c r="C28" s="40"/>
      <c r="D28" s="6"/>
      <c r="E28" s="7"/>
      <c r="F28" s="56"/>
      <c r="G28" s="7"/>
      <c r="H28" s="59"/>
      <c r="I28" s="59"/>
    </row>
    <row r="29" spans="1:9" ht="13" x14ac:dyDescent="0.25">
      <c r="A29" s="31"/>
      <c r="B29" s="31"/>
      <c r="C29" s="40"/>
      <c r="D29" s="6"/>
      <c r="E29" s="184" t="s">
        <v>25</v>
      </c>
      <c r="F29" s="56"/>
      <c r="G29" s="7" t="s">
        <v>26</v>
      </c>
      <c r="H29" s="59"/>
      <c r="I29" s="59"/>
    </row>
    <row r="30" spans="1:9" ht="13" x14ac:dyDescent="0.25">
      <c r="A30" s="31"/>
      <c r="B30" s="31"/>
      <c r="C30" s="40"/>
      <c r="D30" s="6"/>
      <c r="E30" s="7"/>
      <c r="F30" s="56"/>
      <c r="G30" s="59"/>
      <c r="H30" s="59"/>
      <c r="I30" s="59"/>
    </row>
    <row r="31" spans="1:9" ht="13" x14ac:dyDescent="0.25">
      <c r="A31" s="31"/>
      <c r="B31" s="31"/>
      <c r="C31" s="40"/>
      <c r="D31" s="6"/>
      <c r="E31" s="185" t="s">
        <v>27</v>
      </c>
      <c r="F31" s="56"/>
      <c r="G31" s="7" t="s">
        <v>28</v>
      </c>
      <c r="H31" s="59"/>
      <c r="I31" s="59"/>
    </row>
    <row r="32" spans="1:9" ht="13" x14ac:dyDescent="0.25">
      <c r="A32" s="31"/>
      <c r="B32" s="31"/>
      <c r="C32" s="40"/>
      <c r="D32" s="6"/>
      <c r="E32" s="7"/>
      <c r="F32" s="56"/>
      <c r="G32" s="7"/>
      <c r="H32" s="59"/>
      <c r="I32" s="59"/>
    </row>
    <row r="33" spans="1:9" ht="13" x14ac:dyDescent="0.25">
      <c r="A33" s="31"/>
      <c r="B33" s="31"/>
      <c r="C33" s="40"/>
      <c r="D33" s="6"/>
      <c r="E33" s="184" t="s">
        <v>29</v>
      </c>
      <c r="F33" s="56"/>
      <c r="G33" s="7" t="s">
        <v>30</v>
      </c>
      <c r="H33" s="59"/>
      <c r="I33" s="59"/>
    </row>
    <row r="34" spans="1:9" ht="13" x14ac:dyDescent="0.25">
      <c r="A34" s="31"/>
      <c r="B34" s="31"/>
      <c r="C34" s="40"/>
      <c r="D34" s="6"/>
      <c r="E34" s="56"/>
      <c r="F34" s="56"/>
      <c r="G34" s="7"/>
      <c r="H34" s="59"/>
      <c r="I34" s="59"/>
    </row>
    <row r="35" spans="1:9" ht="13" x14ac:dyDescent="0.25">
      <c r="A35" s="31"/>
      <c r="B35" s="31" t="s">
        <v>31</v>
      </c>
      <c r="C35" s="40"/>
      <c r="D35" s="6"/>
      <c r="E35" s="7"/>
      <c r="F35" s="56"/>
      <c r="G35" s="7"/>
      <c r="H35" s="59"/>
      <c r="I35" s="59"/>
    </row>
    <row r="36" spans="1:9" ht="13" x14ac:dyDescent="0.25">
      <c r="A36" s="31"/>
      <c r="B36" s="31"/>
      <c r="C36" s="40"/>
      <c r="D36" s="6"/>
      <c r="E36" s="186" t="s">
        <v>32</v>
      </c>
      <c r="F36" s="56"/>
      <c r="G36" s="7" t="s">
        <v>33</v>
      </c>
      <c r="H36" s="59"/>
      <c r="I36" s="59"/>
    </row>
    <row r="37" spans="1:9" ht="13" x14ac:dyDescent="0.25">
      <c r="A37" s="31"/>
      <c r="B37" s="31"/>
      <c r="C37" s="40"/>
      <c r="D37" s="6"/>
      <c r="E37" s="59"/>
      <c r="F37" s="56"/>
      <c r="G37" s="7"/>
      <c r="H37" s="59"/>
      <c r="I37" s="59"/>
    </row>
    <row r="38" spans="1:9" ht="13" x14ac:dyDescent="0.25">
      <c r="A38" s="31"/>
      <c r="B38" s="31"/>
      <c r="C38" s="40"/>
      <c r="D38" s="6"/>
      <c r="E38" s="3" t="s">
        <v>34</v>
      </c>
      <c r="F38" s="7"/>
      <c r="G38" s="56" t="s">
        <v>35</v>
      </c>
      <c r="H38" s="59"/>
      <c r="I38" s="59"/>
    </row>
    <row r="39" spans="1:9" ht="13" x14ac:dyDescent="0.25">
      <c r="A39" s="31"/>
      <c r="B39" s="31"/>
      <c r="C39" s="40"/>
      <c r="D39" s="6"/>
      <c r="E39" s="7"/>
      <c r="F39" s="56"/>
      <c r="G39" s="7"/>
      <c r="H39" s="59"/>
      <c r="I39" s="59"/>
    </row>
    <row r="40" spans="1:9" ht="13" x14ac:dyDescent="0.25">
      <c r="A40" s="31"/>
      <c r="B40" s="31"/>
      <c r="C40" s="40"/>
      <c r="D40" s="6"/>
      <c r="E40" s="187" t="s">
        <v>36</v>
      </c>
      <c r="F40" s="56"/>
      <c r="G40" s="7" t="s">
        <v>37</v>
      </c>
      <c r="H40" s="59"/>
      <c r="I40" s="59"/>
    </row>
    <row r="41" spans="1:9" ht="13" x14ac:dyDescent="0.25">
      <c r="A41" s="31"/>
      <c r="B41" s="31"/>
      <c r="C41" s="40"/>
      <c r="D41" s="6"/>
      <c r="E41" s="59"/>
      <c r="F41" s="56"/>
      <c r="G41" s="7"/>
      <c r="H41" s="59"/>
      <c r="I41" s="59"/>
    </row>
    <row r="42" spans="1:9" ht="13" x14ac:dyDescent="0.25">
      <c r="A42" s="31"/>
      <c r="B42" s="31"/>
      <c r="C42" s="40"/>
      <c r="D42" s="6"/>
      <c r="E42" s="9" t="s">
        <v>38</v>
      </c>
      <c r="F42" s="56"/>
      <c r="G42" s="7" t="s">
        <v>39</v>
      </c>
      <c r="H42" s="59"/>
      <c r="I42" s="59"/>
    </row>
    <row r="43" spans="1:9" ht="13" x14ac:dyDescent="0.25">
      <c r="A43" s="13"/>
      <c r="B43" s="188"/>
      <c r="C43" s="58"/>
      <c r="D43" s="57"/>
      <c r="E43" s="59"/>
      <c r="F43" s="56"/>
      <c r="G43" s="56"/>
      <c r="H43" s="56"/>
      <c r="I43" s="56"/>
    </row>
    <row r="44" spans="1:9" ht="13" x14ac:dyDescent="0.25">
      <c r="A44" s="13"/>
      <c r="B44" s="188"/>
      <c r="C44" s="58"/>
      <c r="D44" s="57"/>
      <c r="E44" s="189" t="s">
        <v>40</v>
      </c>
      <c r="F44" s="56"/>
      <c r="G44" s="7" t="s">
        <v>41</v>
      </c>
      <c r="H44" s="56"/>
      <c r="I44" s="56"/>
    </row>
    <row r="45" spans="1:9" ht="13" x14ac:dyDescent="0.25">
      <c r="A45" s="13"/>
      <c r="B45" s="188"/>
      <c r="C45" s="58"/>
      <c r="D45" s="57"/>
      <c r="E45" s="59"/>
      <c r="F45" s="56"/>
      <c r="G45" s="56"/>
      <c r="H45" s="56"/>
      <c r="I45" s="56"/>
    </row>
    <row r="46" spans="1:9" ht="13" x14ac:dyDescent="0.25">
      <c r="A46" s="31"/>
      <c r="B46" s="31" t="s">
        <v>42</v>
      </c>
      <c r="C46" s="40"/>
      <c r="D46" s="6"/>
      <c r="E46" s="7"/>
      <c r="F46" s="56"/>
      <c r="G46" s="7"/>
      <c r="H46" s="59"/>
      <c r="I46" s="59"/>
    </row>
    <row r="47" spans="1:9" ht="13" x14ac:dyDescent="0.25">
      <c r="A47" s="31"/>
      <c r="B47" s="31"/>
      <c r="C47" s="40"/>
      <c r="D47" s="6"/>
      <c r="E47" s="190" t="s">
        <v>43</v>
      </c>
      <c r="F47" s="56"/>
      <c r="G47" s="7" t="s">
        <v>44</v>
      </c>
      <c r="H47" s="59"/>
      <c r="I47" s="59"/>
    </row>
    <row r="48" spans="1:9" ht="13" x14ac:dyDescent="0.25">
      <c r="A48" s="31"/>
      <c r="B48" s="31"/>
      <c r="C48" s="40"/>
      <c r="D48" s="6"/>
      <c r="E48" s="59"/>
      <c r="F48" s="56"/>
      <c r="G48" s="7"/>
      <c r="H48" s="59"/>
      <c r="I48" s="59"/>
    </row>
    <row r="49" spans="1:9" ht="13" x14ac:dyDescent="0.25">
      <c r="A49" s="31"/>
      <c r="B49" s="31"/>
      <c r="C49" s="40"/>
      <c r="D49" s="6"/>
      <c r="E49" s="191" t="s">
        <v>45</v>
      </c>
      <c r="F49" s="56"/>
      <c r="G49" s="7" t="s">
        <v>46</v>
      </c>
      <c r="H49" s="59"/>
      <c r="I49" s="59"/>
    </row>
    <row r="50" spans="1:9" ht="13" x14ac:dyDescent="0.25">
      <c r="A50" s="31"/>
      <c r="B50" s="31"/>
      <c r="C50" s="40"/>
      <c r="D50" s="6"/>
      <c r="E50" s="7"/>
      <c r="F50" s="56"/>
      <c r="G50" s="7"/>
      <c r="H50" s="59"/>
      <c r="I50" s="59"/>
    </row>
    <row r="51" spans="1:9" ht="13" x14ac:dyDescent="0.25">
      <c r="A51" s="31"/>
      <c r="B51" s="31"/>
      <c r="C51" s="40"/>
      <c r="D51" s="6"/>
      <c r="E51" s="192" t="s">
        <v>47</v>
      </c>
      <c r="F51" s="56"/>
      <c r="G51" s="7" t="s">
        <v>48</v>
      </c>
      <c r="H51" s="59"/>
      <c r="I51" s="59"/>
    </row>
    <row r="52" spans="1:9" ht="13" x14ac:dyDescent="0.25">
      <c r="A52" s="31"/>
      <c r="B52" s="31"/>
      <c r="C52" s="40"/>
      <c r="D52" s="6"/>
      <c r="E52" s="59"/>
      <c r="F52" s="59"/>
      <c r="G52" s="59"/>
      <c r="H52" s="59"/>
      <c r="I52" s="59"/>
    </row>
    <row r="53" spans="1:9" ht="13" x14ac:dyDescent="0.25">
      <c r="A53" s="13"/>
      <c r="B53" s="13"/>
      <c r="C53" s="12"/>
      <c r="D53" s="56"/>
      <c r="E53" s="56"/>
      <c r="F53" s="56"/>
      <c r="G53" s="56"/>
      <c r="H53" s="56"/>
      <c r="I53" s="56"/>
    </row>
    <row r="54" spans="1:9" ht="13" x14ac:dyDescent="0.25">
      <c r="A54" s="174" t="s">
        <v>49</v>
      </c>
      <c r="B54" s="174"/>
      <c r="C54" s="175"/>
      <c r="D54" s="176"/>
      <c r="E54" s="174"/>
      <c r="F54" s="174"/>
      <c r="G54" s="174"/>
      <c r="H54" s="174"/>
      <c r="I54" s="174"/>
    </row>
    <row r="55" spans="1:9" ht="13" x14ac:dyDescent="0.25">
      <c r="A55" s="13"/>
      <c r="B55" s="188"/>
      <c r="C55" s="58"/>
      <c r="D55" s="57"/>
      <c r="E55" s="56"/>
      <c r="F55" s="56"/>
      <c r="G55" s="56"/>
      <c r="H55" s="56"/>
      <c r="I55" s="56"/>
    </row>
    <row r="56" spans="1:9" ht="13" x14ac:dyDescent="0.25">
      <c r="A56" s="13"/>
      <c r="B56" s="188"/>
      <c r="C56" s="58"/>
      <c r="D56" s="57"/>
      <c r="E56" s="56" t="s">
        <v>50</v>
      </c>
      <c r="F56" s="56"/>
      <c r="G56" s="56" t="s">
        <v>51</v>
      </c>
      <c r="H56" s="56"/>
      <c r="I56" s="56"/>
    </row>
    <row r="57" spans="1:9" ht="13" x14ac:dyDescent="0.25">
      <c r="A57" s="13"/>
      <c r="B57" s="188"/>
      <c r="C57" s="58"/>
      <c r="D57" s="57"/>
      <c r="E57" s="56" t="s">
        <v>52</v>
      </c>
      <c r="F57" s="56"/>
      <c r="G57" s="56" t="s">
        <v>53</v>
      </c>
      <c r="H57" s="56"/>
      <c r="I57" s="56"/>
    </row>
    <row r="58" spans="1:9" ht="13" x14ac:dyDescent="0.25">
      <c r="A58" s="13"/>
      <c r="B58" s="188"/>
      <c r="C58" s="58"/>
      <c r="D58" s="57"/>
      <c r="E58" s="56" t="s">
        <v>54</v>
      </c>
      <c r="F58" s="56"/>
      <c r="G58" s="56" t="s">
        <v>55</v>
      </c>
      <c r="H58" s="56"/>
      <c r="I58" s="56"/>
    </row>
    <row r="59" spans="1:9" ht="13" x14ac:dyDescent="0.25">
      <c r="A59" s="13"/>
      <c r="B59" s="188"/>
      <c r="C59" s="58"/>
      <c r="D59" s="57"/>
      <c r="E59" s="56" t="s">
        <v>56</v>
      </c>
      <c r="F59" s="56"/>
      <c r="G59" s="56" t="s">
        <v>57</v>
      </c>
      <c r="H59" s="56"/>
      <c r="I59" s="56"/>
    </row>
    <row r="60" spans="1:9" ht="13" x14ac:dyDescent="0.25">
      <c r="A60" s="13"/>
      <c r="B60" s="188"/>
      <c r="C60" s="58"/>
      <c r="D60" s="57"/>
      <c r="E60" s="56" t="s">
        <v>58</v>
      </c>
      <c r="F60" s="56"/>
      <c r="G60" s="56" t="s">
        <v>59</v>
      </c>
      <c r="H60" s="56"/>
      <c r="I60" s="56"/>
    </row>
    <row r="61" spans="1:9" ht="13" x14ac:dyDescent="0.25">
      <c r="A61" s="13"/>
      <c r="B61" s="188"/>
      <c r="C61" s="58"/>
      <c r="D61" s="57"/>
      <c r="E61" s="56" t="s">
        <v>60</v>
      </c>
      <c r="F61" s="60"/>
      <c r="G61" s="60" t="s">
        <v>61</v>
      </c>
      <c r="H61" s="56"/>
      <c r="I61" s="56"/>
    </row>
    <row r="62" spans="1:9" ht="13" x14ac:dyDescent="0.25">
      <c r="A62" s="13"/>
      <c r="B62" s="188"/>
      <c r="C62" s="58"/>
      <c r="D62" s="57"/>
      <c r="E62" s="56"/>
      <c r="F62" s="56"/>
      <c r="G62" s="56"/>
      <c r="H62" s="56"/>
      <c r="I62" s="56"/>
    </row>
    <row r="63" spans="1:9" ht="13" x14ac:dyDescent="0.25">
      <c r="A63" s="13"/>
      <c r="B63" s="188"/>
      <c r="C63" s="58"/>
      <c r="D63" s="57"/>
      <c r="E63" s="56"/>
      <c r="F63" s="56"/>
      <c r="G63" s="56"/>
      <c r="H63" s="56"/>
      <c r="I63" s="56"/>
    </row>
    <row r="64" spans="1:9" s="1" customFormat="1" ht="13" x14ac:dyDescent="0.3">
      <c r="A64" s="14" t="s">
        <v>62</v>
      </c>
    </row>
    <row r="65" spans="1:9" x14ac:dyDescent="0.25">
      <c r="A65" s="63"/>
      <c r="B65" s="63"/>
      <c r="C65" s="63"/>
      <c r="D65" s="63"/>
      <c r="E65" s="63"/>
      <c r="F65" s="63"/>
      <c r="G65" s="63"/>
      <c r="H65" s="63"/>
      <c r="I65" s="63"/>
    </row>
    <row r="66" spans="1:9" x14ac:dyDescent="0.25">
      <c r="A66" s="63"/>
      <c r="B66" s="63"/>
      <c r="C66" s="63"/>
      <c r="D66" s="63"/>
      <c r="E66" s="63"/>
      <c r="F66" s="63"/>
      <c r="G66" s="63"/>
      <c r="H66" s="63"/>
      <c r="I66" s="63"/>
    </row>
    <row r="67" spans="1:9" x14ac:dyDescent="0.25">
      <c r="A67" s="63"/>
      <c r="B67" s="63"/>
      <c r="C67" s="63"/>
      <c r="D67" s="63"/>
      <c r="E67" s="63"/>
      <c r="F67" s="63"/>
      <c r="G67" s="63"/>
      <c r="H67" s="63"/>
      <c r="I67" s="63"/>
    </row>
    <row r="68" spans="1:9" x14ac:dyDescent="0.25">
      <c r="A68" s="63"/>
      <c r="B68" s="63"/>
      <c r="C68" s="63"/>
      <c r="D68" s="63"/>
      <c r="E68" s="63"/>
      <c r="F68" s="63"/>
      <c r="G68" s="63"/>
      <c r="H68" s="63"/>
      <c r="I68" s="63"/>
    </row>
    <row r="69" spans="1:9" x14ac:dyDescent="0.25">
      <c r="A69" s="63"/>
      <c r="B69" s="63"/>
      <c r="C69" s="63"/>
      <c r="D69" s="63"/>
      <c r="E69" s="63"/>
      <c r="F69" s="63"/>
      <c r="G69" s="63"/>
      <c r="H69" s="63"/>
      <c r="I69" s="63"/>
    </row>
    <row r="70" spans="1:9" x14ac:dyDescent="0.25">
      <c r="A70" s="63"/>
      <c r="B70" s="63"/>
      <c r="C70" s="63"/>
      <c r="D70" s="63"/>
      <c r="E70" s="63"/>
      <c r="F70" s="63"/>
      <c r="G70" s="63"/>
      <c r="H70" s="63"/>
      <c r="I70" s="63"/>
    </row>
    <row r="71" spans="1:9" x14ac:dyDescent="0.25">
      <c r="A71" s="63"/>
      <c r="B71" s="63"/>
      <c r="C71" s="63"/>
      <c r="D71" s="63"/>
      <c r="E71" s="63"/>
      <c r="F71" s="63"/>
      <c r="G71" s="63"/>
      <c r="H71" s="63"/>
      <c r="I71" s="63"/>
    </row>
    <row r="72" spans="1:9" x14ac:dyDescent="0.25"/>
    <row r="73" spans="1:9" x14ac:dyDescent="0.25"/>
    <row r="74" spans="1:9" x14ac:dyDescent="0.25"/>
    <row r="75" spans="1:9" x14ac:dyDescent="0.25"/>
    <row r="76" spans="1:9" x14ac:dyDescent="0.25"/>
    <row r="77" spans="1:9" x14ac:dyDescent="0.25"/>
    <row r="78" spans="1:9" x14ac:dyDescent="0.25"/>
    <row r="79" spans="1:9" x14ac:dyDescent="0.25"/>
    <row r="80" spans="1: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sheetData>
  <pageMargins left="0.70866141732283472" right="0.70866141732283472" top="0.74803149606299213" bottom="0.74803149606299213" header="0.31496062992125984" footer="0.31496062992125984"/>
  <pageSetup paperSize="9" scale="6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48"/>
  <sheetViews>
    <sheetView zoomScaleNormal="100" workbookViewId="0"/>
  </sheetViews>
  <sheetFormatPr defaultColWidth="0" defaultRowHeight="12.5" zeroHeight="1" x14ac:dyDescent="0.25"/>
  <cols>
    <col min="1" max="1" width="2.54296875" style="63" customWidth="1"/>
    <col min="2" max="2" width="36.54296875" style="63" bestFit="1" customWidth="1"/>
    <col min="3" max="3" width="3.453125" style="63" customWidth="1"/>
    <col min="4" max="4" width="54.81640625" style="63" customWidth="1"/>
    <col min="5" max="5" width="3.1796875" style="63" customWidth="1"/>
    <col min="6" max="6" width="40.54296875" style="63" customWidth="1"/>
    <col min="7" max="7" width="3.1796875" style="63" customWidth="1"/>
    <col min="8" max="8" width="40.54296875" style="63" customWidth="1"/>
    <col min="9" max="9" width="27.81640625" style="63" customWidth="1"/>
    <col min="10" max="10" width="63.1796875" style="63" hidden="1" customWidth="1"/>
    <col min="11" max="16384" width="9.1796875" style="63" hidden="1"/>
  </cols>
  <sheetData>
    <row r="1" spans="1:11" s="165" customFormat="1" ht="25" x14ac:dyDescent="0.5">
      <c r="A1" s="152" t="str">
        <f ca="1" xml:space="preserve"> RIGHT(CELL("filename", $A$1), LEN(CELL("filename", $A$1)) - SEARCH("]", CELL("filename", $A$1)))</f>
        <v>ToC</v>
      </c>
      <c r="B1" s="156"/>
      <c r="C1" s="156"/>
      <c r="D1" s="156"/>
      <c r="E1" s="156"/>
      <c r="F1" s="156"/>
      <c r="G1" s="156"/>
      <c r="H1" s="156"/>
      <c r="I1" s="156"/>
      <c r="J1" s="156"/>
      <c r="K1" s="156"/>
    </row>
    <row r="2" spans="1:11" x14ac:dyDescent="0.25"/>
    <row r="3" spans="1:11" x14ac:dyDescent="0.25">
      <c r="B3" s="63" t="s">
        <v>63</v>
      </c>
      <c r="D3" s="63" t="s">
        <v>64</v>
      </c>
      <c r="F3" s="63" t="s">
        <v>65</v>
      </c>
      <c r="H3" s="63" t="s">
        <v>295</v>
      </c>
    </row>
    <row r="4" spans="1:11" x14ac:dyDescent="0.25"/>
    <row r="5" spans="1:11" x14ac:dyDescent="0.25">
      <c r="B5" s="138" t="str">
        <f ca="1">Cover!$A$1</f>
        <v>Cover</v>
      </c>
      <c r="D5" s="138" t="str">
        <f ca="1">Time!A$1</f>
        <v>Time</v>
      </c>
      <c r="F5" s="318" t="str">
        <f ca="1">Adjustments!$A$1</f>
        <v>Adjustments</v>
      </c>
      <c r="H5" s="139" t="str">
        <f ca="1">Checks!$A$1</f>
        <v>Checks</v>
      </c>
    </row>
    <row r="6" spans="1:11" x14ac:dyDescent="0.25">
      <c r="B6" s="63" t="s">
        <v>66</v>
      </c>
      <c r="D6" s="63" t="s">
        <v>67</v>
      </c>
      <c r="F6" s="63" t="s">
        <v>296</v>
      </c>
      <c r="H6" s="63" t="s">
        <v>51</v>
      </c>
    </row>
    <row r="7" spans="1:11" x14ac:dyDescent="0.25">
      <c r="D7" s="49"/>
    </row>
    <row r="8" spans="1:11" x14ac:dyDescent="0.25">
      <c r="B8" s="138" t="str">
        <f ca="1">'Style Guide'!$A$1</f>
        <v>Style Guide</v>
      </c>
      <c r="D8" s="138" t="str">
        <f ca="1">Index!$A$1</f>
        <v>Index</v>
      </c>
    </row>
    <row r="9" spans="1:11" x14ac:dyDescent="0.25">
      <c r="B9" s="63" t="s">
        <v>68</v>
      </c>
      <c r="D9" s="63" t="s">
        <v>283</v>
      </c>
    </row>
    <row r="10" spans="1:11" x14ac:dyDescent="0.25"/>
    <row r="11" spans="1:11" x14ac:dyDescent="0.25">
      <c r="B11" s="140" t="str">
        <f ca="1">$A$1</f>
        <v>ToC</v>
      </c>
      <c r="D11" s="138" t="str">
        <f ca="1">'Calcs-WR'!$A$1</f>
        <v>Calcs-WR</v>
      </c>
    </row>
    <row r="12" spans="1:11" x14ac:dyDescent="0.25">
      <c r="B12" s="63" t="s">
        <v>69</v>
      </c>
      <c r="D12" s="63" t="s">
        <v>369</v>
      </c>
    </row>
    <row r="13" spans="1:11" x14ac:dyDescent="0.25"/>
    <row r="14" spans="1:11" x14ac:dyDescent="0.25">
      <c r="B14" s="137" t="str">
        <f ca="1">InpR!$A$1</f>
        <v>InpR</v>
      </c>
      <c r="D14" s="138" t="str">
        <f ca="1">'Calcs-WN'!$A$1</f>
        <v>Calcs-WN</v>
      </c>
    </row>
    <row r="15" spans="1:11" x14ac:dyDescent="0.25">
      <c r="B15" s="63" t="s">
        <v>70</v>
      </c>
      <c r="D15" s="63" t="s">
        <v>370</v>
      </c>
    </row>
    <row r="16" spans="1:11" x14ac:dyDescent="0.25"/>
    <row r="17" spans="1:4" x14ac:dyDescent="0.25">
      <c r="D17" s="138" t="str">
        <f ca="1">'Calcs-WWN'!$A$1</f>
        <v>Calcs-WWN</v>
      </c>
    </row>
    <row r="18" spans="1:4" x14ac:dyDescent="0.25">
      <c r="D18" s="63" t="s">
        <v>371</v>
      </c>
    </row>
    <row r="19" spans="1:4" x14ac:dyDescent="0.25"/>
    <row r="20" spans="1:4" x14ac:dyDescent="0.25">
      <c r="D20" s="138" t="str">
        <f ca="1">'Calcs-BR'!$A$1</f>
        <v>Calcs-BR</v>
      </c>
    </row>
    <row r="21" spans="1:4" x14ac:dyDescent="0.25">
      <c r="D21" s="63" t="s">
        <v>372</v>
      </c>
    </row>
    <row r="22" spans="1:4" x14ac:dyDescent="0.25"/>
    <row r="23" spans="1:4" x14ac:dyDescent="0.25">
      <c r="D23" s="138" t="str">
        <f ca="1">'Calcs-DMMY'!$A$1</f>
        <v>Calcs-DMMY</v>
      </c>
    </row>
    <row r="24" spans="1:4" x14ac:dyDescent="0.25">
      <c r="D24" s="63" t="s">
        <v>373</v>
      </c>
    </row>
    <row r="25" spans="1:4" x14ac:dyDescent="0.25"/>
    <row r="26" spans="1:4" x14ac:dyDescent="0.25"/>
    <row r="27" spans="1:4" x14ac:dyDescent="0.25"/>
    <row r="28" spans="1:4" x14ac:dyDescent="0.25"/>
    <row r="29" spans="1:4" s="1" customFormat="1" ht="13" x14ac:dyDescent="0.3">
      <c r="A29" s="14" t="s">
        <v>62</v>
      </c>
    </row>
    <row r="30" spans="1:4"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sheetData>
  <pageMargins left="0.70866141732283472" right="0.70866141732283472" top="0.74803149606299213" bottom="0.74803149606299213" header="0.31496062992125984" footer="0.31496062992125984"/>
  <pageSetup paperSize="9" scale="62"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99"/>
    <outlinePr summaryBelow="0" summaryRight="0"/>
    <pageSetUpPr fitToPage="1"/>
  </sheetPr>
  <dimension ref="A1:DE588"/>
  <sheetViews>
    <sheetView zoomScale="70" zoomScaleNormal="70" workbookViewId="0">
      <pane xSplit="9" ySplit="7" topLeftCell="J8" activePane="bottomRight" state="frozen"/>
      <selection pane="topRight"/>
      <selection pane="bottomLeft"/>
      <selection pane="bottomRight" activeCell="I22" sqref="I22"/>
    </sheetView>
  </sheetViews>
  <sheetFormatPr defaultColWidth="0" defaultRowHeight="13" zeroHeight="1" x14ac:dyDescent="0.25"/>
  <cols>
    <col min="1" max="1" width="1.453125" style="13" customWidth="1"/>
    <col min="2" max="2" width="1.453125" style="10" customWidth="1"/>
    <col min="3" max="3" width="1.453125" style="151" customWidth="1"/>
    <col min="4" max="4" width="1.453125" style="11" customWidth="1"/>
    <col min="5" max="5" width="54.54296875" style="8" bestFit="1" customWidth="1"/>
    <col min="6" max="6" width="11.453125" style="8" customWidth="1"/>
    <col min="7" max="7" width="9.54296875" style="8" bestFit="1" customWidth="1"/>
    <col min="8" max="8" width="5" style="8" bestFit="1" customWidth="1"/>
    <col min="9" max="9" width="66.7265625" style="8" bestFit="1" customWidth="1"/>
    <col min="10" max="17" width="9.81640625" style="8" bestFit="1" customWidth="1"/>
    <col min="18" max="18" width="10.453125" style="8" bestFit="1" customWidth="1"/>
    <col min="19" max="82" width="11.54296875" style="8" hidden="1" customWidth="1"/>
    <col min="83" max="109" width="0" style="8" hidden="1" customWidth="1"/>
    <col min="110" max="16384" width="9.1796875" style="8" hidden="1"/>
  </cols>
  <sheetData>
    <row r="1" spans="1:82" s="156" customFormat="1" ht="25" x14ac:dyDescent="0.5">
      <c r="A1" s="152" t="str">
        <f ca="1" xml:space="preserve"> RIGHT(CELL("filename", $A$1), LEN(CELL("filename", $A$1)) - SEARCH("]", CELL("filename", $A$1)))</f>
        <v>InpR</v>
      </c>
      <c r="C1" s="167"/>
    </row>
    <row r="2" spans="1:82" s="33" customFormat="1" x14ac:dyDescent="0.25">
      <c r="A2" s="81"/>
      <c r="B2" s="77"/>
      <c r="C2" s="147"/>
      <c r="D2" s="71"/>
      <c r="E2" s="33" t="str">
        <f>Time!E$22</f>
        <v>Model Period BEG</v>
      </c>
      <c r="F2" s="38">
        <f xml:space="preserve"> Checks!$F$9</f>
        <v>0</v>
      </c>
      <c r="G2" s="56" t="s">
        <v>71</v>
      </c>
      <c r="J2" s="33">
        <f>Time!J$22</f>
        <v>42826</v>
      </c>
      <c r="K2" s="33">
        <f>Time!K$22</f>
        <v>43191</v>
      </c>
      <c r="L2" s="33">
        <f>Time!L$22</f>
        <v>43556</v>
      </c>
      <c r="M2" s="33">
        <f>Time!M$22</f>
        <v>43922</v>
      </c>
      <c r="N2" s="33">
        <f>Time!N$22</f>
        <v>44287</v>
      </c>
      <c r="O2" s="33">
        <f>Time!O$22</f>
        <v>44652</v>
      </c>
      <c r="P2" s="33">
        <f>Time!P$22</f>
        <v>45017</v>
      </c>
      <c r="Q2" s="33">
        <f>Time!Q$22</f>
        <v>45383</v>
      </c>
      <c r="R2" s="33">
        <f>Time!R$22</f>
        <v>45748</v>
      </c>
    </row>
    <row r="3" spans="1:82" s="37" customFormat="1" x14ac:dyDescent="0.25">
      <c r="A3" s="81"/>
      <c r="B3" s="77"/>
      <c r="C3" s="147"/>
      <c r="D3" s="71"/>
      <c r="E3" s="33" t="str">
        <f>Time!E$23</f>
        <v>Model Period END</v>
      </c>
      <c r="F3" s="32"/>
      <c r="G3" s="274"/>
      <c r="H3" s="33"/>
      <c r="I3" s="33"/>
      <c r="J3" s="33">
        <f>Time!J$23</f>
        <v>43190</v>
      </c>
      <c r="K3" s="33">
        <f>Time!K$23</f>
        <v>43555</v>
      </c>
      <c r="L3" s="33">
        <f>Time!L$23</f>
        <v>43921</v>
      </c>
      <c r="M3" s="33">
        <f>Time!M$23</f>
        <v>44286</v>
      </c>
      <c r="N3" s="33">
        <f>Time!N$23</f>
        <v>44651</v>
      </c>
      <c r="O3" s="33">
        <f>Time!O$23</f>
        <v>45016</v>
      </c>
      <c r="P3" s="33">
        <f>Time!P$23</f>
        <v>45382</v>
      </c>
      <c r="Q3" s="33">
        <f>Time!Q$23</f>
        <v>45747</v>
      </c>
      <c r="R3" s="33">
        <f>Time!R$23</f>
        <v>46112</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row>
    <row r="4" spans="1:82" s="31" customFormat="1" x14ac:dyDescent="0.25">
      <c r="A4" s="67"/>
      <c r="B4" s="78"/>
      <c r="C4" s="148"/>
      <c r="D4" s="72"/>
      <c r="E4" s="33"/>
      <c r="F4" s="32"/>
      <c r="G4" s="274"/>
      <c r="H4" s="33"/>
      <c r="I4" s="33"/>
      <c r="J4" s="33" t="str">
        <f>Time!J$59</f>
        <v>Pre Fcst</v>
      </c>
      <c r="K4" s="33" t="str">
        <f>Time!K$59</f>
        <v>Pre Fcst</v>
      </c>
      <c r="L4" s="33" t="str">
        <f>Time!L$59</f>
        <v>Pre Fcst</v>
      </c>
      <c r="M4" s="33" t="str">
        <f>Time!M$59</f>
        <v>Forecast</v>
      </c>
      <c r="N4" s="33" t="str">
        <f>Time!N$59</f>
        <v>Forecast</v>
      </c>
      <c r="O4" s="33" t="str">
        <f>Time!O$59</f>
        <v>Forecast</v>
      </c>
      <c r="P4" s="33" t="str">
        <f>Time!P$59</f>
        <v>Forecast</v>
      </c>
      <c r="Q4" s="33" t="str">
        <f>Time!Q$59</f>
        <v>Forecast</v>
      </c>
      <c r="R4" s="33" t="str">
        <f>Time!R$59</f>
        <v>Post-Fcst</v>
      </c>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row>
    <row r="5" spans="1:82" s="34" customFormat="1" x14ac:dyDescent="0.25">
      <c r="A5" s="82"/>
      <c r="B5" s="79"/>
      <c r="C5" s="149"/>
      <c r="D5" s="73"/>
      <c r="E5" s="32" t="str">
        <f>Time!E$86</f>
        <v>Financial Year Ending</v>
      </c>
      <c r="F5" s="32"/>
      <c r="G5" s="32"/>
      <c r="H5" s="32"/>
      <c r="I5" s="32"/>
      <c r="J5" s="63">
        <f>Time!J$86</f>
        <v>2018</v>
      </c>
      <c r="K5" s="63">
        <f>Time!K$86</f>
        <v>2019</v>
      </c>
      <c r="L5" s="63">
        <f>Time!L$86</f>
        <v>2020</v>
      </c>
      <c r="M5" s="63">
        <f>Time!M$86</f>
        <v>2021</v>
      </c>
      <c r="N5" s="63">
        <f>Time!N$86</f>
        <v>2022</v>
      </c>
      <c r="O5" s="63">
        <f>Time!O$86</f>
        <v>2023</v>
      </c>
      <c r="P5" s="63">
        <f>Time!P$86</f>
        <v>2024</v>
      </c>
      <c r="Q5" s="63">
        <f>Time!Q$86</f>
        <v>2025</v>
      </c>
      <c r="R5" s="63">
        <f>Time!R$86</f>
        <v>2026</v>
      </c>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row>
    <row r="6" spans="1:82" s="34" customFormat="1" x14ac:dyDescent="0.25">
      <c r="A6" s="82"/>
      <c r="B6" s="79"/>
      <c r="C6" s="149"/>
      <c r="D6" s="73"/>
      <c r="E6" s="32" t="str">
        <f>Time!E$11</f>
        <v>Model column counter</v>
      </c>
      <c r="F6" s="32"/>
      <c r="G6" s="32"/>
      <c r="H6" s="32"/>
      <c r="I6" s="32"/>
      <c r="J6" s="32">
        <f>Time!J$11</f>
        <v>1</v>
      </c>
      <c r="K6" s="32">
        <f>Time!K$11</f>
        <v>2</v>
      </c>
      <c r="L6" s="32">
        <f>Time!L$11</f>
        <v>3</v>
      </c>
      <c r="M6" s="32">
        <f>Time!M$11</f>
        <v>4</v>
      </c>
      <c r="N6" s="32">
        <f>Time!N$11</f>
        <v>5</v>
      </c>
      <c r="O6" s="32">
        <f>Time!O$11</f>
        <v>6</v>
      </c>
      <c r="P6" s="32">
        <f>Time!P$11</f>
        <v>7</v>
      </c>
      <c r="Q6" s="32">
        <f>Time!Q$11</f>
        <v>8</v>
      </c>
      <c r="R6" s="32">
        <f>Time!R$11</f>
        <v>9</v>
      </c>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row>
    <row r="7" spans="1:82" s="36" customFormat="1" x14ac:dyDescent="0.25">
      <c r="A7" s="67"/>
      <c r="B7" s="78"/>
      <c r="C7" s="148"/>
      <c r="D7" s="72"/>
      <c r="E7" s="40"/>
      <c r="F7" s="31" t="s">
        <v>72</v>
      </c>
      <c r="G7" s="31" t="s">
        <v>73</v>
      </c>
      <c r="H7" s="31" t="s">
        <v>93</v>
      </c>
      <c r="I7" s="31" t="s">
        <v>368</v>
      </c>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row>
    <row r="8" spans="1:82" s="56" customFormat="1" x14ac:dyDescent="0.25">
      <c r="A8" s="69"/>
      <c r="B8" s="80"/>
      <c r="C8" s="150"/>
      <c r="D8" s="74"/>
    </row>
    <row r="9" spans="1:82" s="56" customFormat="1" x14ac:dyDescent="0.25">
      <c r="A9" s="346" t="s">
        <v>74</v>
      </c>
      <c r="B9" s="347"/>
      <c r="C9" s="348"/>
      <c r="D9" s="348"/>
      <c r="E9" s="348"/>
      <c r="F9" s="348"/>
      <c r="G9" s="348"/>
      <c r="H9" s="348"/>
      <c r="I9" s="348"/>
      <c r="J9" s="348"/>
      <c r="K9" s="348"/>
      <c r="L9" s="348"/>
      <c r="M9" s="348"/>
      <c r="N9" s="348"/>
      <c r="O9" s="348"/>
      <c r="P9" s="348"/>
      <c r="Q9" s="348"/>
      <c r="R9" s="348"/>
    </row>
    <row r="10" spans="1:82" s="56" customFormat="1" x14ac:dyDescent="0.25">
      <c r="A10" s="13"/>
      <c r="B10" s="58"/>
      <c r="C10" s="58"/>
      <c r="D10" s="57"/>
      <c r="E10" s="125"/>
    </row>
    <row r="11" spans="1:82" s="56" customFormat="1" x14ac:dyDescent="0.25">
      <c r="A11" s="13"/>
      <c r="B11" s="58"/>
      <c r="C11" s="58"/>
      <c r="D11" s="57"/>
      <c r="E11" s="125" t="s">
        <v>75</v>
      </c>
      <c r="F11" s="21">
        <v>42826</v>
      </c>
      <c r="G11" s="30" t="s">
        <v>76</v>
      </c>
    </row>
    <row r="12" spans="1:82" s="56" customFormat="1" x14ac:dyDescent="0.25">
      <c r="A12" s="13"/>
      <c r="B12" s="58"/>
      <c r="C12" s="58"/>
      <c r="D12" s="57"/>
      <c r="E12" s="125"/>
      <c r="F12" s="22"/>
    </row>
    <row r="13" spans="1:82" s="56" customFormat="1" x14ac:dyDescent="0.25">
      <c r="A13" s="13"/>
      <c r="B13" s="58"/>
      <c r="C13" s="58"/>
      <c r="D13" s="57"/>
      <c r="E13" s="125" t="s">
        <v>77</v>
      </c>
      <c r="F13" s="21">
        <v>43921</v>
      </c>
      <c r="G13" s="30" t="s">
        <v>76</v>
      </c>
    </row>
    <row r="14" spans="1:82" s="56" customFormat="1" x14ac:dyDescent="0.25">
      <c r="A14" s="13"/>
      <c r="B14" s="58"/>
      <c r="C14" s="58"/>
      <c r="D14" s="57"/>
      <c r="E14" s="126"/>
      <c r="F14" s="22"/>
      <c r="G14" s="23"/>
    </row>
    <row r="15" spans="1:82" s="56" customFormat="1" x14ac:dyDescent="0.25">
      <c r="A15" s="13"/>
      <c r="B15" s="58"/>
      <c r="C15" s="58"/>
      <c r="D15" s="57"/>
      <c r="E15" s="125" t="s">
        <v>78</v>
      </c>
      <c r="F15" s="21">
        <v>43921</v>
      </c>
      <c r="G15" s="30" t="s">
        <v>76</v>
      </c>
    </row>
    <row r="16" spans="1:82" s="56" customFormat="1" x14ac:dyDescent="0.25">
      <c r="A16" s="29"/>
      <c r="B16" s="28"/>
      <c r="C16" s="28"/>
      <c r="D16" s="27"/>
      <c r="E16" s="126" t="s">
        <v>79</v>
      </c>
      <c r="F16" s="24">
        <v>5</v>
      </c>
      <c r="G16" s="25" t="s">
        <v>80</v>
      </c>
    </row>
    <row r="17" spans="1:19" s="56" customFormat="1" x14ac:dyDescent="0.25">
      <c r="A17" s="13"/>
      <c r="B17" s="58"/>
      <c r="C17" s="58"/>
      <c r="D17" s="57"/>
      <c r="E17" s="126" t="s">
        <v>81</v>
      </c>
      <c r="F17" s="22">
        <f>DATE(YEAR(F15)+F16,MONTH(F15),DAY(F15))</f>
        <v>45747</v>
      </c>
      <c r="G17" s="23" t="s">
        <v>76</v>
      </c>
    </row>
    <row r="18" spans="1:19" s="56" customFormat="1" x14ac:dyDescent="0.25">
      <c r="A18" s="13"/>
      <c r="B18" s="58"/>
      <c r="C18" s="58"/>
      <c r="D18" s="57"/>
      <c r="E18" s="125"/>
      <c r="F18" s="22"/>
    </row>
    <row r="19" spans="1:19" s="56" customFormat="1" x14ac:dyDescent="0.25">
      <c r="A19" s="13"/>
      <c r="B19" s="58"/>
      <c r="C19" s="58"/>
      <c r="D19" s="57"/>
      <c r="E19" s="125"/>
      <c r="F19" s="22"/>
    </row>
    <row r="20" spans="1:19" s="56" customFormat="1" x14ac:dyDescent="0.25">
      <c r="A20" s="13"/>
      <c r="B20" s="58"/>
      <c r="C20" s="58"/>
      <c r="D20" s="57"/>
      <c r="E20" s="125" t="s">
        <v>82</v>
      </c>
      <c r="F20" s="21">
        <v>44286</v>
      </c>
      <c r="G20" s="56" t="s">
        <v>76</v>
      </c>
    </row>
    <row r="21" spans="1:19" s="56" customFormat="1" x14ac:dyDescent="0.25">
      <c r="A21" s="13"/>
      <c r="B21" s="58"/>
      <c r="C21" s="58"/>
      <c r="D21" s="57"/>
      <c r="E21" s="125" t="s">
        <v>83</v>
      </c>
      <c r="F21" s="21">
        <v>45747</v>
      </c>
      <c r="G21" s="56" t="s">
        <v>76</v>
      </c>
    </row>
    <row r="22" spans="1:19" s="56" customFormat="1" x14ac:dyDescent="0.25">
      <c r="A22" s="13"/>
      <c r="B22" s="58"/>
      <c r="C22" s="58"/>
      <c r="D22" s="57"/>
      <c r="E22" s="125" t="s">
        <v>84</v>
      </c>
      <c r="F22" s="61">
        <v>2018</v>
      </c>
      <c r="G22" s="56" t="s">
        <v>85</v>
      </c>
    </row>
    <row r="23" spans="1:19" s="56" customFormat="1" x14ac:dyDescent="0.25">
      <c r="A23" s="13"/>
      <c r="B23" s="58"/>
      <c r="C23" s="58"/>
      <c r="D23" s="57"/>
      <c r="E23" s="125" t="s">
        <v>86</v>
      </c>
      <c r="F23" s="24">
        <v>3</v>
      </c>
      <c r="G23" s="56" t="s">
        <v>87</v>
      </c>
    </row>
    <row r="24" spans="1:19" s="56" customFormat="1" x14ac:dyDescent="0.25">
      <c r="A24" s="69"/>
      <c r="B24" s="80"/>
      <c r="C24" s="150"/>
      <c r="D24" s="74"/>
    </row>
    <row r="25" spans="1:19" s="56" customFormat="1" x14ac:dyDescent="0.25">
      <c r="A25" s="346" t="s">
        <v>181</v>
      </c>
      <c r="B25" s="347"/>
      <c r="C25" s="348"/>
      <c r="D25" s="348"/>
      <c r="E25" s="348"/>
      <c r="F25" s="348"/>
      <c r="G25" s="348"/>
      <c r="H25" s="348"/>
      <c r="I25" s="348"/>
      <c r="J25" s="348"/>
      <c r="K25" s="348"/>
      <c r="L25" s="348"/>
      <c r="M25" s="348"/>
      <c r="N25" s="348"/>
      <c r="O25" s="348"/>
      <c r="P25" s="348"/>
      <c r="Q25" s="348"/>
      <c r="R25" s="348"/>
    </row>
    <row r="26" spans="1:19" s="56" customFormat="1" x14ac:dyDescent="0.25">
      <c r="A26" s="69"/>
      <c r="B26" s="80" t="s">
        <v>182</v>
      </c>
      <c r="C26" s="150"/>
      <c r="D26" s="74"/>
    </row>
    <row r="27" spans="1:19" s="56" customFormat="1" x14ac:dyDescent="0.25">
      <c r="A27" s="69"/>
      <c r="B27" s="80"/>
      <c r="C27" s="150"/>
      <c r="D27" s="74"/>
      <c r="E27" s="125" t="s">
        <v>187</v>
      </c>
      <c r="G27" s="125" t="s">
        <v>188</v>
      </c>
      <c r="I27" s="343" t="s">
        <v>383</v>
      </c>
      <c r="J27" s="39"/>
      <c r="K27" s="278">
        <v>279.7</v>
      </c>
      <c r="L27" s="278">
        <v>288.2</v>
      </c>
      <c r="M27" s="278">
        <v>296.81994379694203</v>
      </c>
      <c r="N27" s="278">
        <v>305.32865399748601</v>
      </c>
      <c r="O27" s="278">
        <v>314.691934446201</v>
      </c>
      <c r="P27" s="278">
        <v>324.76207634847901</v>
      </c>
      <c r="Q27" s="278">
        <v>335.15446279163098</v>
      </c>
      <c r="R27" s="278">
        <v>345.20909667538001</v>
      </c>
      <c r="S27" s="279"/>
    </row>
    <row r="28" spans="1:19" s="56" customFormat="1" x14ac:dyDescent="0.25">
      <c r="A28" s="69"/>
      <c r="B28" s="80"/>
      <c r="C28" s="150"/>
      <c r="D28" s="74"/>
      <c r="E28" s="125" t="s">
        <v>189</v>
      </c>
      <c r="G28" s="125" t="s">
        <v>188</v>
      </c>
      <c r="I28" s="343" t="s">
        <v>384</v>
      </c>
      <c r="J28" s="39"/>
      <c r="K28" s="278">
        <v>280.7</v>
      </c>
      <c r="L28" s="278">
        <v>289.2</v>
      </c>
      <c r="M28" s="278">
        <v>297.50379137925398</v>
      </c>
      <c r="N28" s="278">
        <v>306.08167682745898</v>
      </c>
      <c r="O28" s="278">
        <v>315.51905088813697</v>
      </c>
      <c r="P28" s="278">
        <v>325.61566051655802</v>
      </c>
      <c r="Q28" s="278">
        <v>336.03536165308702</v>
      </c>
      <c r="R28" s="278">
        <v>346.11642250268</v>
      </c>
      <c r="S28" s="279"/>
    </row>
    <row r="29" spans="1:19" s="56" customFormat="1" x14ac:dyDescent="0.25">
      <c r="A29" s="69"/>
      <c r="B29" s="80"/>
      <c r="C29" s="150"/>
      <c r="D29" s="74"/>
      <c r="E29" s="125" t="s">
        <v>190</v>
      </c>
      <c r="G29" s="125" t="s">
        <v>188</v>
      </c>
      <c r="I29" s="343" t="s">
        <v>385</v>
      </c>
      <c r="J29" s="39"/>
      <c r="K29" s="278">
        <v>281.5</v>
      </c>
      <c r="L29" s="278">
        <v>289.60000000000002</v>
      </c>
      <c r="M29" s="278">
        <v>298.18921448748898</v>
      </c>
      <c r="N29" s="278">
        <v>306.83655681487397</v>
      </c>
      <c r="O29" s="278">
        <v>316.34834127078699</v>
      </c>
      <c r="P29" s="278">
        <v>326.47148819145201</v>
      </c>
      <c r="Q29" s="278">
        <v>336.91857581357903</v>
      </c>
      <c r="R29" s="278">
        <v>347.02613308798601</v>
      </c>
      <c r="S29" s="279"/>
    </row>
    <row r="30" spans="1:19" s="56" customFormat="1" x14ac:dyDescent="0.25">
      <c r="A30" s="69"/>
      <c r="B30" s="80"/>
      <c r="C30" s="150"/>
      <c r="D30" s="74"/>
      <c r="E30" s="125" t="s">
        <v>191</v>
      </c>
      <c r="G30" s="125" t="s">
        <v>188</v>
      </c>
      <c r="I30" s="343" t="s">
        <v>386</v>
      </c>
      <c r="J30" s="39"/>
      <c r="K30" s="278">
        <v>281.7</v>
      </c>
      <c r="L30" s="278">
        <v>289.5</v>
      </c>
      <c r="M30" s="278">
        <v>298.87621675152297</v>
      </c>
      <c r="N30" s="278">
        <v>307.593298539984</v>
      </c>
      <c r="O30" s="278">
        <v>317.17981130799899</v>
      </c>
      <c r="P30" s="278">
        <v>327.32956526985498</v>
      </c>
      <c r="Q30" s="278">
        <v>337.80411135849101</v>
      </c>
      <c r="R30" s="278">
        <v>347.93823469924502</v>
      </c>
      <c r="S30" s="279"/>
    </row>
    <row r="31" spans="1:19" s="56" customFormat="1" x14ac:dyDescent="0.25">
      <c r="A31" s="69"/>
      <c r="B31" s="80"/>
      <c r="C31" s="150"/>
      <c r="D31" s="74"/>
      <c r="E31" s="125" t="s">
        <v>192</v>
      </c>
      <c r="G31" s="125" t="s">
        <v>188</v>
      </c>
      <c r="I31" s="343" t="s">
        <v>387</v>
      </c>
      <c r="J31" s="39"/>
      <c r="K31" s="278">
        <v>284.2</v>
      </c>
      <c r="L31" s="278">
        <v>291.5</v>
      </c>
      <c r="M31" s="278">
        <v>299.56480180959397</v>
      </c>
      <c r="N31" s="278">
        <v>308.35190659433698</v>
      </c>
      <c r="O31" s="278">
        <v>318.01346672864003</v>
      </c>
      <c r="P31" s="278">
        <v>328.18989766395703</v>
      </c>
      <c r="Q31" s="278">
        <v>338.69197438920298</v>
      </c>
      <c r="R31" s="278">
        <v>348.85273362087997</v>
      </c>
      <c r="S31" s="279"/>
    </row>
    <row r="32" spans="1:19" s="56" customFormat="1" x14ac:dyDescent="0.25">
      <c r="A32" s="69"/>
      <c r="B32" s="80"/>
      <c r="C32" s="150"/>
      <c r="D32" s="74"/>
      <c r="E32" s="125" t="s">
        <v>193</v>
      </c>
      <c r="G32" s="125" t="s">
        <v>188</v>
      </c>
      <c r="I32" s="343" t="s">
        <v>388</v>
      </c>
      <c r="J32" s="39"/>
      <c r="K32" s="278">
        <v>284.10000000000002</v>
      </c>
      <c r="L32" s="278">
        <v>292.14789585630501</v>
      </c>
      <c r="M32" s="278">
        <v>300.254973308324</v>
      </c>
      <c r="N32" s="278">
        <v>309.11238558080299</v>
      </c>
      <c r="O32" s="278">
        <v>318.84931327663401</v>
      </c>
      <c r="P32" s="278">
        <v>329.05249130148701</v>
      </c>
      <c r="Q32" s="278">
        <v>339.58217102313398</v>
      </c>
      <c r="R32" s="278">
        <v>349.769636153828</v>
      </c>
      <c r="S32" s="279"/>
    </row>
    <row r="33" spans="1:19" s="56" customFormat="1" x14ac:dyDescent="0.25">
      <c r="A33" s="69"/>
      <c r="B33" s="80"/>
      <c r="C33" s="150"/>
      <c r="D33" s="74"/>
      <c r="E33" s="125" t="s">
        <v>194</v>
      </c>
      <c r="G33" s="125" t="s">
        <v>188</v>
      </c>
      <c r="I33" s="343" t="s">
        <v>389</v>
      </c>
      <c r="J33" s="39"/>
      <c r="K33" s="278">
        <v>284.5</v>
      </c>
      <c r="L33" s="278">
        <v>292.79723174362402</v>
      </c>
      <c r="M33" s="278">
        <v>300.94673490273601</v>
      </c>
      <c r="N33" s="278">
        <v>309.87474011360501</v>
      </c>
      <c r="O33" s="278">
        <v>319.687356711002</v>
      </c>
      <c r="P33" s="278">
        <v>329.91735212575401</v>
      </c>
      <c r="Q33" s="278">
        <v>340.474707393779</v>
      </c>
      <c r="R33" s="278">
        <v>350.68894861559198</v>
      </c>
      <c r="S33" s="279"/>
    </row>
    <row r="34" spans="1:19" s="56" customFormat="1" x14ac:dyDescent="0.25">
      <c r="A34" s="69"/>
      <c r="B34" s="80"/>
      <c r="C34" s="150"/>
      <c r="D34" s="74"/>
      <c r="E34" s="125" t="s">
        <v>195</v>
      </c>
      <c r="G34" s="125" t="s">
        <v>188</v>
      </c>
      <c r="I34" s="343" t="s">
        <v>390</v>
      </c>
      <c r="J34" s="39"/>
      <c r="K34" s="278">
        <v>284.60000000000002</v>
      </c>
      <c r="L34" s="278">
        <v>293.44801086260998</v>
      </c>
      <c r="M34" s="278">
        <v>301.640090256272</v>
      </c>
      <c r="N34" s="278">
        <v>310.638974818348</v>
      </c>
      <c r="O34" s="278">
        <v>320.52760280590201</v>
      </c>
      <c r="P34" s="278">
        <v>330.78448609569102</v>
      </c>
      <c r="Q34" s="278">
        <v>341.36958965075303</v>
      </c>
      <c r="R34" s="278">
        <v>351.61067734027603</v>
      </c>
      <c r="S34" s="279"/>
    </row>
    <row r="35" spans="1:19" s="56" customFormat="1" x14ac:dyDescent="0.25">
      <c r="A35" s="69"/>
      <c r="B35" s="80"/>
      <c r="C35" s="150"/>
      <c r="D35" s="74"/>
      <c r="E35" s="125" t="s">
        <v>196</v>
      </c>
      <c r="G35" s="125" t="s">
        <v>188</v>
      </c>
      <c r="I35" s="343" t="s">
        <v>391</v>
      </c>
      <c r="J35" s="39"/>
      <c r="K35" s="278">
        <v>285.60000000000002</v>
      </c>
      <c r="L35" s="278">
        <v>294.100236421028</v>
      </c>
      <c r="M35" s="278">
        <v>302.33504304081703</v>
      </c>
      <c r="N35" s="278">
        <v>311.40509433204198</v>
      </c>
      <c r="O35" s="278">
        <v>321.37005735066703</v>
      </c>
      <c r="P35" s="278">
        <v>331.65389918588897</v>
      </c>
      <c r="Q35" s="278">
        <v>342.26682395983698</v>
      </c>
      <c r="R35" s="278">
        <v>352.53482867863198</v>
      </c>
      <c r="S35" s="279"/>
    </row>
    <row r="36" spans="1:19" s="56" customFormat="1" x14ac:dyDescent="0.25">
      <c r="A36" s="69"/>
      <c r="B36" s="80"/>
      <c r="C36" s="150"/>
      <c r="D36" s="74"/>
      <c r="E36" s="125" t="s">
        <v>197</v>
      </c>
      <c r="G36" s="125" t="s">
        <v>188</v>
      </c>
      <c r="I36" s="343" t="s">
        <v>392</v>
      </c>
      <c r="J36" s="39"/>
      <c r="K36" s="278">
        <v>283</v>
      </c>
      <c r="L36" s="278">
        <v>294.77781803182302</v>
      </c>
      <c r="M36" s="278">
        <v>303.08068281857697</v>
      </c>
      <c r="N36" s="278">
        <v>312.22357185062901</v>
      </c>
      <c r="O36" s="278">
        <v>322.21472614984901</v>
      </c>
      <c r="P36" s="278">
        <v>332.52559738664399</v>
      </c>
      <c r="Q36" s="278">
        <v>343.16641650301699</v>
      </c>
      <c r="R36" s="278">
        <v>353.461408998107</v>
      </c>
      <c r="S36" s="279"/>
    </row>
    <row r="37" spans="1:19" s="56" customFormat="1" x14ac:dyDescent="0.25">
      <c r="A37" s="69"/>
      <c r="B37" s="80"/>
      <c r="C37" s="150"/>
      <c r="D37" s="74"/>
      <c r="E37" s="125" t="s">
        <v>198</v>
      </c>
      <c r="G37" s="125" t="s">
        <v>188</v>
      </c>
      <c r="I37" s="343" t="s">
        <v>393</v>
      </c>
      <c r="J37" s="39"/>
      <c r="K37" s="278">
        <v>285</v>
      </c>
      <c r="L37" s="278">
        <v>295.45696073228203</v>
      </c>
      <c r="M37" s="278">
        <v>303.82816154518099</v>
      </c>
      <c r="N37" s="278">
        <v>313.04420060392698</v>
      </c>
      <c r="O37" s="278">
        <v>323.06161502325301</v>
      </c>
      <c r="P37" s="278">
        <v>333.39958670399699</v>
      </c>
      <c r="Q37" s="278">
        <v>344.06837347852502</v>
      </c>
      <c r="R37" s="278">
        <v>354.39042468288102</v>
      </c>
      <c r="S37" s="279"/>
    </row>
    <row r="38" spans="1:19" s="56" customFormat="1" x14ac:dyDescent="0.25">
      <c r="A38" s="69"/>
      <c r="B38" s="80"/>
      <c r="C38" s="150"/>
      <c r="D38" s="74"/>
      <c r="E38" s="125" t="s">
        <v>199</v>
      </c>
      <c r="G38" s="125" t="s">
        <v>188</v>
      </c>
      <c r="I38" s="343" t="s">
        <v>394</v>
      </c>
      <c r="J38" s="39"/>
      <c r="K38" s="278">
        <v>285.10000000000002</v>
      </c>
      <c r="L38" s="278">
        <v>296.13766811902099</v>
      </c>
      <c r="M38" s="278">
        <v>304.57748375597498</v>
      </c>
      <c r="N38" s="278">
        <v>313.86698624610801</v>
      </c>
      <c r="O38" s="278">
        <v>323.91072980598301</v>
      </c>
      <c r="P38" s="278">
        <v>334.27587315977502</v>
      </c>
      <c r="Q38" s="278">
        <v>344.972701100888</v>
      </c>
      <c r="R38" s="278">
        <v>355.32188213391402</v>
      </c>
      <c r="S38" s="279"/>
    </row>
    <row r="39" spans="1:19" s="60" customFormat="1" x14ac:dyDescent="0.25">
      <c r="A39" s="68"/>
      <c r="B39" s="80"/>
      <c r="C39" s="150"/>
      <c r="D39" s="76"/>
      <c r="E39" s="126"/>
      <c r="F39" s="126"/>
      <c r="G39" s="126"/>
      <c r="I39" s="206"/>
      <c r="K39" s="280"/>
      <c r="L39" s="280"/>
      <c r="M39" s="280"/>
      <c r="N39" s="280"/>
      <c r="O39" s="280"/>
      <c r="P39" s="280"/>
      <c r="Q39" s="280"/>
      <c r="R39" s="280"/>
    </row>
    <row r="40" spans="1:19" s="56" customFormat="1" x14ac:dyDescent="0.25">
      <c r="A40" s="69"/>
      <c r="B40" s="80" t="s">
        <v>183</v>
      </c>
      <c r="C40" s="150"/>
      <c r="D40" s="74"/>
      <c r="I40" s="57"/>
    </row>
    <row r="41" spans="1:19" s="56" customFormat="1" x14ac:dyDescent="0.25">
      <c r="A41" s="69"/>
      <c r="B41" s="80"/>
      <c r="C41" s="150"/>
      <c r="D41" s="74"/>
      <c r="E41" s="125" t="s">
        <v>200</v>
      </c>
      <c r="G41" s="125" t="s">
        <v>188</v>
      </c>
      <c r="I41" s="343" t="s">
        <v>395</v>
      </c>
      <c r="J41" s="278">
        <v>103.2</v>
      </c>
      <c r="K41" s="278">
        <v>105.5</v>
      </c>
      <c r="L41" s="278">
        <v>107.6</v>
      </c>
      <c r="M41" s="278">
        <v>109.703354739972</v>
      </c>
      <c r="N41" s="278">
        <v>111.897421834771</v>
      </c>
      <c r="O41" s="278">
        <v>114.172657229451</v>
      </c>
      <c r="P41" s="278">
        <v>116.57028303126999</v>
      </c>
      <c r="Q41" s="278">
        <v>119.01825897492699</v>
      </c>
      <c r="R41" s="278">
        <v>121.39862415442499</v>
      </c>
      <c r="S41" s="279"/>
    </row>
    <row r="42" spans="1:19" s="56" customFormat="1" x14ac:dyDescent="0.25">
      <c r="A42" s="69"/>
      <c r="B42" s="80"/>
      <c r="C42" s="150"/>
      <c r="D42" s="74"/>
      <c r="E42" s="125" t="s">
        <v>201</v>
      </c>
      <c r="G42" s="125" t="s">
        <v>188</v>
      </c>
      <c r="I42" s="343" t="s">
        <v>396</v>
      </c>
      <c r="J42" s="278">
        <v>103.5</v>
      </c>
      <c r="K42" s="278">
        <v>105.9</v>
      </c>
      <c r="L42" s="278">
        <v>107.9</v>
      </c>
      <c r="M42" s="278">
        <v>109.884538749418</v>
      </c>
      <c r="N42" s="278">
        <v>112.082229524407</v>
      </c>
      <c r="O42" s="278">
        <v>114.370561696745</v>
      </c>
      <c r="P42" s="278">
        <v>116.772343492377</v>
      </c>
      <c r="Q42" s="278">
        <v>119.22456270571701</v>
      </c>
      <c r="R42" s="278">
        <v>121.609053959831</v>
      </c>
      <c r="S42" s="279"/>
    </row>
    <row r="43" spans="1:19" s="56" customFormat="1" x14ac:dyDescent="0.25">
      <c r="A43" s="69"/>
      <c r="B43" s="80"/>
      <c r="C43" s="150"/>
      <c r="D43" s="74"/>
      <c r="E43" s="125" t="s">
        <v>202</v>
      </c>
      <c r="G43" s="125" t="s">
        <v>188</v>
      </c>
      <c r="I43" s="343" t="s">
        <v>397</v>
      </c>
      <c r="J43" s="278">
        <v>103.5</v>
      </c>
      <c r="K43" s="278">
        <v>105.9</v>
      </c>
      <c r="L43" s="278">
        <v>107.9</v>
      </c>
      <c r="M43" s="278">
        <v>110.066021998987</v>
      </c>
      <c r="N43" s="278">
        <v>112.26734243896701</v>
      </c>
      <c r="O43" s="278">
        <v>114.568809207453</v>
      </c>
      <c r="P43" s="278">
        <v>116.97475420081</v>
      </c>
      <c r="Q43" s="278">
        <v>119.431224039027</v>
      </c>
      <c r="R43" s="278">
        <v>121.819848519807</v>
      </c>
      <c r="S43" s="279"/>
    </row>
    <row r="44" spans="1:19" s="56" customFormat="1" x14ac:dyDescent="0.25">
      <c r="A44" s="69"/>
      <c r="B44" s="80"/>
      <c r="C44" s="150"/>
      <c r="D44" s="74"/>
      <c r="E44" s="125" t="s">
        <v>203</v>
      </c>
      <c r="G44" s="125" t="s">
        <v>188</v>
      </c>
      <c r="I44" s="343" t="s">
        <v>398</v>
      </c>
      <c r="J44" s="278">
        <v>103.5</v>
      </c>
      <c r="K44" s="278">
        <v>105.9</v>
      </c>
      <c r="L44" s="278">
        <v>108</v>
      </c>
      <c r="M44" s="278">
        <v>110.24780498289699</v>
      </c>
      <c r="N44" s="278">
        <v>112.452761082555</v>
      </c>
      <c r="O44" s="278">
        <v>114.7674003562</v>
      </c>
      <c r="P44" s="278">
        <v>117.17751576368001</v>
      </c>
      <c r="Q44" s="278">
        <v>119.638243594717</v>
      </c>
      <c r="R44" s="278">
        <v>122.03100846661199</v>
      </c>
      <c r="S44" s="279"/>
    </row>
    <row r="45" spans="1:19" s="56" customFormat="1" x14ac:dyDescent="0.25">
      <c r="A45" s="69"/>
      <c r="B45" s="80"/>
      <c r="C45" s="150"/>
      <c r="D45" s="74"/>
      <c r="E45" s="125" t="s">
        <v>204</v>
      </c>
      <c r="G45" s="125" t="s">
        <v>188</v>
      </c>
      <c r="I45" s="343" t="s">
        <v>399</v>
      </c>
      <c r="J45" s="278">
        <v>104</v>
      </c>
      <c r="K45" s="278">
        <v>106.5</v>
      </c>
      <c r="L45" s="278">
        <v>108.3</v>
      </c>
      <c r="M45" s="278">
        <v>110.429888196185</v>
      </c>
      <c r="N45" s="278">
        <v>112.638485960108</v>
      </c>
      <c r="O45" s="278">
        <v>114.96633573864</v>
      </c>
      <c r="P45" s="278">
        <v>117.380628789151</v>
      </c>
      <c r="Q45" s="278">
        <v>119.845621993724</v>
      </c>
      <c r="R45" s="278">
        <v>122.242534433598</v>
      </c>
      <c r="S45" s="279"/>
    </row>
    <row r="46" spans="1:19" s="56" customFormat="1" x14ac:dyDescent="0.25">
      <c r="A46" s="69"/>
      <c r="B46" s="80"/>
      <c r="C46" s="150"/>
      <c r="D46" s="74"/>
      <c r="E46" s="125" t="s">
        <v>205</v>
      </c>
      <c r="G46" s="125" t="s">
        <v>188</v>
      </c>
      <c r="I46" s="343" t="s">
        <v>400</v>
      </c>
      <c r="J46" s="278">
        <v>104.3</v>
      </c>
      <c r="K46" s="278">
        <v>106.6</v>
      </c>
      <c r="L46" s="278">
        <v>108.469999617629</v>
      </c>
      <c r="M46" s="278">
        <v>110.61227213470301</v>
      </c>
      <c r="N46" s="278">
        <v>112.824517577397</v>
      </c>
      <c r="O46" s="278">
        <v>115.16561595146101</v>
      </c>
      <c r="P46" s="278">
        <v>117.58409388644201</v>
      </c>
      <c r="Q46" s="278">
        <v>120.05335985805699</v>
      </c>
      <c r="R46" s="278">
        <v>122.45442705521801</v>
      </c>
      <c r="S46" s="279"/>
    </row>
    <row r="47" spans="1:19" s="56" customFormat="1" x14ac:dyDescent="0.25">
      <c r="A47" s="69"/>
      <c r="B47" s="80"/>
      <c r="C47" s="150"/>
      <c r="D47" s="74"/>
      <c r="E47" s="125" t="s">
        <v>206</v>
      </c>
      <c r="G47" s="125" t="s">
        <v>188</v>
      </c>
      <c r="I47" s="343" t="s">
        <v>401</v>
      </c>
      <c r="J47" s="278">
        <v>104.4</v>
      </c>
      <c r="K47" s="278">
        <v>106.7</v>
      </c>
      <c r="L47" s="278">
        <v>108.64026608539599</v>
      </c>
      <c r="M47" s="278">
        <v>110.794957295123</v>
      </c>
      <c r="N47" s="278">
        <v>113.01085644102599</v>
      </c>
      <c r="O47" s="278">
        <v>115.365241592385</v>
      </c>
      <c r="P47" s="278">
        <v>117.78791166582501</v>
      </c>
      <c r="Q47" s="278">
        <v>120.261457810807</v>
      </c>
      <c r="R47" s="278">
        <v>122.66668696702401</v>
      </c>
      <c r="S47" s="279"/>
    </row>
    <row r="48" spans="1:19" s="56" customFormat="1" x14ac:dyDescent="0.25">
      <c r="A48" s="69"/>
      <c r="B48" s="80"/>
      <c r="C48" s="150"/>
      <c r="D48" s="74"/>
      <c r="E48" s="125" t="s">
        <v>207</v>
      </c>
      <c r="G48" s="125" t="s">
        <v>188</v>
      </c>
      <c r="I48" s="343" t="s">
        <v>402</v>
      </c>
      <c r="J48" s="278">
        <v>104.7</v>
      </c>
      <c r="K48" s="278">
        <v>106.9</v>
      </c>
      <c r="L48" s="278">
        <v>108.81079982217901</v>
      </c>
      <c r="M48" s="278">
        <v>110.977944174939</v>
      </c>
      <c r="N48" s="278">
        <v>113.197503058438</v>
      </c>
      <c r="O48" s="278">
        <v>115.565213260169</v>
      </c>
      <c r="P48" s="278">
        <v>117.992082738633</v>
      </c>
      <c r="Q48" s="278">
        <v>120.46991647614399</v>
      </c>
      <c r="R48" s="278">
        <v>122.87931480566699</v>
      </c>
      <c r="S48" s="279"/>
    </row>
    <row r="49" spans="1:19" s="56" customFormat="1" x14ac:dyDescent="0.25">
      <c r="A49" s="69"/>
      <c r="B49" s="80"/>
      <c r="C49" s="150"/>
      <c r="D49" s="74"/>
      <c r="E49" s="125" t="s">
        <v>208</v>
      </c>
      <c r="G49" s="125" t="s">
        <v>188</v>
      </c>
      <c r="I49" s="343" t="s">
        <v>403</v>
      </c>
      <c r="J49" s="278">
        <v>105</v>
      </c>
      <c r="K49" s="278">
        <v>107.1</v>
      </c>
      <c r="L49" s="278">
        <v>108.981601247513</v>
      </c>
      <c r="M49" s="278">
        <v>111.161233272464</v>
      </c>
      <c r="N49" s="278">
        <v>113.384457937913</v>
      </c>
      <c r="O49" s="278">
        <v>115.765531554609</v>
      </c>
      <c r="P49" s="278">
        <v>118.196607717256</v>
      </c>
      <c r="Q49" s="278">
        <v>120.678736479319</v>
      </c>
      <c r="R49" s="278">
        <v>123.092311208905</v>
      </c>
      <c r="S49" s="279"/>
    </row>
    <row r="50" spans="1:19" s="56" customFormat="1" x14ac:dyDescent="0.25">
      <c r="A50" s="69"/>
      <c r="B50" s="80"/>
      <c r="C50" s="150"/>
      <c r="D50" s="74"/>
      <c r="E50" s="125" t="s">
        <v>209</v>
      </c>
      <c r="G50" s="125" t="s">
        <v>188</v>
      </c>
      <c r="I50" s="343" t="s">
        <v>404</v>
      </c>
      <c r="J50" s="278">
        <v>104.5</v>
      </c>
      <c r="K50" s="278">
        <v>106.4</v>
      </c>
      <c r="L50" s="278">
        <v>109.161593222387</v>
      </c>
      <c r="M50" s="278">
        <v>111.344825086835</v>
      </c>
      <c r="N50" s="278">
        <v>113.580996157239</v>
      </c>
      <c r="O50" s="278">
        <v>115.96619707654099</v>
      </c>
      <c r="P50" s="278">
        <v>118.40148721514799</v>
      </c>
      <c r="Q50" s="278">
        <v>120.887918446667</v>
      </c>
      <c r="R50" s="278">
        <v>123.30567681559999</v>
      </c>
      <c r="S50" s="279"/>
    </row>
    <row r="51" spans="1:19" s="56" customFormat="1" x14ac:dyDescent="0.25">
      <c r="A51" s="69"/>
      <c r="B51" s="80"/>
      <c r="C51" s="150"/>
      <c r="D51" s="74"/>
      <c r="E51" s="125" t="s">
        <v>210</v>
      </c>
      <c r="G51" s="125" t="s">
        <v>188</v>
      </c>
      <c r="I51" s="343" t="s">
        <v>405</v>
      </c>
      <c r="J51" s="278">
        <v>104.9</v>
      </c>
      <c r="K51" s="278">
        <v>106.8</v>
      </c>
      <c r="L51" s="278">
        <v>109.341882468641</v>
      </c>
      <c r="M51" s="278">
        <v>111.52872011801399</v>
      </c>
      <c r="N51" s="278">
        <v>113.77787505175399</v>
      </c>
      <c r="O51" s="278">
        <v>116.167210427841</v>
      </c>
      <c r="P51" s="278">
        <v>118.606721846825</v>
      </c>
      <c r="Q51" s="278">
        <v>121.097463005609</v>
      </c>
      <c r="R51" s="278">
        <v>123.519412265721</v>
      </c>
      <c r="S51" s="279"/>
    </row>
    <row r="52" spans="1:19" s="56" customFormat="1" x14ac:dyDescent="0.25">
      <c r="A52" s="69"/>
      <c r="B52" s="80"/>
      <c r="C52" s="150"/>
      <c r="D52" s="74"/>
      <c r="E52" s="125" t="s">
        <v>211</v>
      </c>
      <c r="F52" s="125"/>
      <c r="G52" s="125" t="s">
        <v>188</v>
      </c>
      <c r="I52" s="343" t="s">
        <v>406</v>
      </c>
      <c r="J52" s="278">
        <v>105.1</v>
      </c>
      <c r="K52" s="278">
        <v>107</v>
      </c>
      <c r="L52" s="278">
        <v>109.52246947724301</v>
      </c>
      <c r="M52" s="278">
        <v>111.712918866788</v>
      </c>
      <c r="N52" s="278">
        <v>113.97509521197701</v>
      </c>
      <c r="O52" s="278">
        <v>116.368572211429</v>
      </c>
      <c r="P52" s="278">
        <v>118.812312227869</v>
      </c>
      <c r="Q52" s="278">
        <v>121.307370784654</v>
      </c>
      <c r="R52" s="278">
        <v>123.73351820034701</v>
      </c>
      <c r="S52" s="279"/>
    </row>
    <row r="53" spans="1:19" s="56" customFormat="1" x14ac:dyDescent="0.25">
      <c r="A53" s="69"/>
      <c r="B53" s="80"/>
      <c r="C53" s="150"/>
      <c r="D53" s="74"/>
      <c r="I53" s="57"/>
    </row>
    <row r="54" spans="1:19" s="56" customFormat="1" x14ac:dyDescent="0.25">
      <c r="A54" s="346" t="s">
        <v>184</v>
      </c>
      <c r="B54" s="347"/>
      <c r="C54" s="348"/>
      <c r="D54" s="348"/>
      <c r="E54" s="348"/>
      <c r="F54" s="348"/>
      <c r="G54" s="348"/>
      <c r="H54" s="348"/>
      <c r="I54" s="348"/>
      <c r="J54" s="348"/>
      <c r="K54" s="348"/>
      <c r="L54" s="348"/>
      <c r="M54" s="348"/>
      <c r="N54" s="348"/>
      <c r="O54" s="348"/>
      <c r="P54" s="348"/>
      <c r="Q54" s="348"/>
      <c r="R54" s="348"/>
    </row>
    <row r="55" spans="1:19" s="56" customFormat="1" x14ac:dyDescent="0.25">
      <c r="A55" s="69"/>
      <c r="B55" s="80" t="s">
        <v>185</v>
      </c>
      <c r="C55" s="150"/>
      <c r="D55" s="74"/>
      <c r="I55" s="57"/>
    </row>
    <row r="56" spans="1:19" s="56" customFormat="1" x14ac:dyDescent="0.25">
      <c r="A56" s="69"/>
      <c r="B56" s="80"/>
      <c r="C56" s="150"/>
      <c r="D56" s="74"/>
      <c r="E56" s="125" t="s">
        <v>212</v>
      </c>
      <c r="G56" s="125" t="s">
        <v>188</v>
      </c>
      <c r="I56" s="57" t="s">
        <v>428</v>
      </c>
      <c r="J56" s="39"/>
      <c r="K56" s="278">
        <f>K27</f>
        <v>279.7</v>
      </c>
      <c r="L56" s="278">
        <v>288.2</v>
      </c>
      <c r="M56" s="278">
        <v>292.60000000000002</v>
      </c>
      <c r="N56" s="278">
        <v>301.10000000000002</v>
      </c>
      <c r="O56" s="278">
        <v>334.6</v>
      </c>
      <c r="P56" s="278">
        <v>359</v>
      </c>
      <c r="Q56" s="278">
        <v>374.3</v>
      </c>
      <c r="R56" s="278">
        <v>385.529</v>
      </c>
    </row>
    <row r="57" spans="1:19" s="56" customFormat="1" x14ac:dyDescent="0.25">
      <c r="A57" s="69"/>
      <c r="B57" s="80"/>
      <c r="C57" s="150"/>
      <c r="D57" s="74"/>
      <c r="E57" s="125" t="s">
        <v>213</v>
      </c>
      <c r="G57" s="125" t="s">
        <v>188</v>
      </c>
      <c r="I57" s="57" t="s">
        <v>428</v>
      </c>
      <c r="J57" s="39"/>
      <c r="K57" s="278">
        <f t="shared" ref="K57" si="0">K28</f>
        <v>280.7</v>
      </c>
      <c r="L57" s="278">
        <v>289.2</v>
      </c>
      <c r="M57" s="278">
        <v>292.2</v>
      </c>
      <c r="N57" s="278">
        <v>301.89999999999998</v>
      </c>
      <c r="O57" s="278">
        <v>337.1</v>
      </c>
      <c r="P57" s="278">
        <v>361.7</v>
      </c>
      <c r="Q57" s="278">
        <v>377.1</v>
      </c>
      <c r="R57" s="278">
        <v>388.41300000000001</v>
      </c>
    </row>
    <row r="58" spans="1:19" s="56" customFormat="1" x14ac:dyDescent="0.25">
      <c r="A58" s="69"/>
      <c r="B58" s="80"/>
      <c r="C58" s="150"/>
      <c r="D58" s="74"/>
      <c r="E58" s="125" t="s">
        <v>214</v>
      </c>
      <c r="G58" s="125" t="s">
        <v>188</v>
      </c>
      <c r="I58" s="57" t="s">
        <v>428</v>
      </c>
      <c r="J58" s="39"/>
      <c r="K58" s="278">
        <f t="shared" ref="K58" si="1">K29</f>
        <v>281.5</v>
      </c>
      <c r="L58" s="278">
        <v>289.60000000000002</v>
      </c>
      <c r="M58" s="278">
        <v>292.7</v>
      </c>
      <c r="N58" s="278">
        <v>304</v>
      </c>
      <c r="O58" s="278">
        <v>340</v>
      </c>
      <c r="P58" s="278">
        <v>364.8</v>
      </c>
      <c r="Q58" s="278">
        <v>380.4</v>
      </c>
      <c r="R58" s="278">
        <v>391.81200000000001</v>
      </c>
    </row>
    <row r="59" spans="1:19" s="56" customFormat="1" x14ac:dyDescent="0.25">
      <c r="A59" s="69"/>
      <c r="B59" s="80"/>
      <c r="C59" s="150"/>
      <c r="D59" s="74"/>
      <c r="E59" s="125" t="s">
        <v>215</v>
      </c>
      <c r="G59" s="125" t="s">
        <v>188</v>
      </c>
      <c r="I59" s="57" t="s">
        <v>428</v>
      </c>
      <c r="J59" s="39"/>
      <c r="K59" s="278">
        <f t="shared" ref="K59" si="2">K30</f>
        <v>281.7</v>
      </c>
      <c r="L59" s="278">
        <v>289.5</v>
      </c>
      <c r="M59" s="278">
        <v>294.2</v>
      </c>
      <c r="N59" s="278">
        <v>305.5</v>
      </c>
      <c r="O59" s="278">
        <v>343.2</v>
      </c>
      <c r="P59" s="278">
        <v>368.2</v>
      </c>
      <c r="Q59" s="278">
        <v>383.9</v>
      </c>
      <c r="R59" s="278">
        <v>395.41699999999997</v>
      </c>
    </row>
    <row r="60" spans="1:19" s="56" customFormat="1" x14ac:dyDescent="0.25">
      <c r="A60" s="69"/>
      <c r="B60" s="80"/>
      <c r="C60" s="150"/>
      <c r="D60" s="74"/>
      <c r="E60" s="125" t="s">
        <v>216</v>
      </c>
      <c r="G60" s="125" t="s">
        <v>188</v>
      </c>
      <c r="I60" s="57" t="s">
        <v>428</v>
      </c>
      <c r="J60" s="39"/>
      <c r="K60" s="278">
        <f t="shared" ref="K60" si="3">K31</f>
        <v>284.2</v>
      </c>
      <c r="L60" s="278">
        <v>291.7</v>
      </c>
      <c r="M60" s="278">
        <v>293.3</v>
      </c>
      <c r="N60" s="278">
        <v>307.39999999999998</v>
      </c>
      <c r="O60" s="278">
        <v>345.2</v>
      </c>
      <c r="P60" s="278">
        <v>370.4</v>
      </c>
      <c r="Q60" s="278">
        <v>386.2</v>
      </c>
      <c r="R60" s="278">
        <v>397.786</v>
      </c>
    </row>
    <row r="61" spans="1:19" s="56" customFormat="1" x14ac:dyDescent="0.25">
      <c r="A61" s="69"/>
      <c r="B61" s="80"/>
      <c r="C61" s="150"/>
      <c r="D61" s="74"/>
      <c r="E61" s="125" t="s">
        <v>217</v>
      </c>
      <c r="G61" s="125" t="s">
        <v>188</v>
      </c>
      <c r="I61" s="57" t="s">
        <v>428</v>
      </c>
      <c r="J61" s="39"/>
      <c r="K61" s="278">
        <f t="shared" ref="K61" si="4">K32</f>
        <v>284.10000000000002</v>
      </c>
      <c r="L61" s="278">
        <v>291</v>
      </c>
      <c r="M61" s="278">
        <v>294.3</v>
      </c>
      <c r="N61" s="278">
        <v>308.60000000000002</v>
      </c>
      <c r="O61" s="278">
        <v>347.6</v>
      </c>
      <c r="P61" s="278">
        <v>373</v>
      </c>
      <c r="Q61" s="278">
        <v>388.9</v>
      </c>
      <c r="R61" s="278">
        <v>400.56700000000001</v>
      </c>
    </row>
    <row r="62" spans="1:19" s="56" customFormat="1" x14ac:dyDescent="0.25">
      <c r="A62" s="69"/>
      <c r="B62" s="80"/>
      <c r="C62" s="150"/>
      <c r="D62" s="74"/>
      <c r="E62" s="125" t="s">
        <v>218</v>
      </c>
      <c r="G62" s="125" t="s">
        <v>188</v>
      </c>
      <c r="I62" s="57" t="s">
        <v>428</v>
      </c>
      <c r="J62" s="39"/>
      <c r="K62" s="278">
        <f t="shared" ref="K62" si="5">K33</f>
        <v>284.5</v>
      </c>
      <c r="L62" s="278">
        <v>290.39999999999998</v>
      </c>
      <c r="M62" s="278">
        <v>294.3</v>
      </c>
      <c r="N62" s="278">
        <v>312</v>
      </c>
      <c r="O62" s="278">
        <v>356.2</v>
      </c>
      <c r="P62" s="278">
        <v>382.2</v>
      </c>
      <c r="Q62" s="278">
        <v>398.5</v>
      </c>
      <c r="R62" s="278">
        <v>410.45499999999998</v>
      </c>
    </row>
    <row r="63" spans="1:19" s="56" customFormat="1" x14ac:dyDescent="0.25">
      <c r="A63" s="69"/>
      <c r="B63" s="80"/>
      <c r="C63" s="150"/>
      <c r="D63" s="74"/>
      <c r="E63" s="125" t="s">
        <v>219</v>
      </c>
      <c r="G63" s="125" t="s">
        <v>188</v>
      </c>
      <c r="I63" s="57" t="s">
        <v>428</v>
      </c>
      <c r="J63" s="39"/>
      <c r="K63" s="278">
        <f t="shared" ref="K63" si="6">K34</f>
        <v>284.60000000000002</v>
      </c>
      <c r="L63" s="278">
        <v>291</v>
      </c>
      <c r="M63" s="278">
        <v>293.5</v>
      </c>
      <c r="N63" s="278">
        <v>314.3</v>
      </c>
      <c r="O63" s="278">
        <v>358.3</v>
      </c>
      <c r="P63" s="278">
        <v>384.5</v>
      </c>
      <c r="Q63" s="278">
        <v>400.9</v>
      </c>
      <c r="R63" s="278">
        <v>412.92699999999996</v>
      </c>
    </row>
    <row r="64" spans="1:19" s="56" customFormat="1" x14ac:dyDescent="0.25">
      <c r="A64" s="69"/>
      <c r="B64" s="80"/>
      <c r="C64" s="150"/>
      <c r="D64" s="74"/>
      <c r="E64" s="125" t="s">
        <v>220</v>
      </c>
      <c r="G64" s="125" t="s">
        <v>188</v>
      </c>
      <c r="I64" s="57" t="s">
        <v>428</v>
      </c>
      <c r="J64" s="39"/>
      <c r="K64" s="278">
        <f t="shared" ref="K64" si="7">K35</f>
        <v>285.60000000000002</v>
      </c>
      <c r="L64" s="278">
        <v>291.89999999999998</v>
      </c>
      <c r="M64" s="278">
        <v>295.39999999999998</v>
      </c>
      <c r="N64" s="278">
        <v>317.7</v>
      </c>
      <c r="O64" s="278">
        <v>360.4</v>
      </c>
      <c r="P64" s="278">
        <v>386.7</v>
      </c>
      <c r="Q64" s="278">
        <v>403.2</v>
      </c>
      <c r="R64" s="278">
        <v>415.29599999999999</v>
      </c>
    </row>
    <row r="65" spans="1:18" s="56" customFormat="1" x14ac:dyDescent="0.25">
      <c r="A65" s="69"/>
      <c r="B65" s="80"/>
      <c r="C65" s="150"/>
      <c r="D65" s="74"/>
      <c r="E65" s="125" t="s">
        <v>221</v>
      </c>
      <c r="G65" s="125" t="s">
        <v>188</v>
      </c>
      <c r="I65" s="57" t="s">
        <v>428</v>
      </c>
      <c r="J65" s="39"/>
      <c r="K65" s="278">
        <f t="shared" ref="K65" si="8">K36</f>
        <v>283</v>
      </c>
      <c r="L65" s="278">
        <v>290.60000000000002</v>
      </c>
      <c r="M65" s="278">
        <v>294.60000000000002</v>
      </c>
      <c r="N65" s="278">
        <v>317.7</v>
      </c>
      <c r="O65" s="278">
        <v>360.3</v>
      </c>
      <c r="P65" s="278">
        <v>386.6</v>
      </c>
      <c r="Q65" s="278">
        <v>403.1</v>
      </c>
      <c r="R65" s="278">
        <v>415.19300000000004</v>
      </c>
    </row>
    <row r="66" spans="1:18" s="56" customFormat="1" x14ac:dyDescent="0.25">
      <c r="A66" s="69"/>
      <c r="B66" s="80"/>
      <c r="C66" s="150"/>
      <c r="D66" s="74"/>
      <c r="E66" s="125" t="s">
        <v>222</v>
      </c>
      <c r="G66" s="125" t="s">
        <v>188</v>
      </c>
      <c r="I66" s="57" t="s">
        <v>428</v>
      </c>
      <c r="J66" s="39"/>
      <c r="K66" s="278">
        <f t="shared" ref="K66" si="9">K37</f>
        <v>285</v>
      </c>
      <c r="L66" s="278">
        <v>292</v>
      </c>
      <c r="M66" s="278">
        <v>296</v>
      </c>
      <c r="N66" s="278">
        <v>320.2</v>
      </c>
      <c r="O66" s="278">
        <v>364.5</v>
      </c>
      <c r="P66" s="278">
        <v>391.1</v>
      </c>
      <c r="Q66" s="278">
        <v>407.8</v>
      </c>
      <c r="R66" s="278">
        <v>420.03400000000005</v>
      </c>
    </row>
    <row r="67" spans="1:18" s="56" customFormat="1" x14ac:dyDescent="0.25">
      <c r="A67" s="69"/>
      <c r="B67" s="80"/>
      <c r="C67" s="150"/>
      <c r="D67" s="74"/>
      <c r="E67" s="125" t="s">
        <v>223</v>
      </c>
      <c r="G67" s="125" t="s">
        <v>188</v>
      </c>
      <c r="I67" s="57" t="s">
        <v>428</v>
      </c>
      <c r="J67" s="39"/>
      <c r="K67" s="278">
        <f t="shared" ref="K67" si="10">K38</f>
        <v>285.10000000000002</v>
      </c>
      <c r="L67" s="278">
        <v>292.60000000000002</v>
      </c>
      <c r="M67" s="278">
        <v>296.89999999999998</v>
      </c>
      <c r="N67" s="278">
        <v>323.5</v>
      </c>
      <c r="O67" s="278">
        <v>367.2</v>
      </c>
      <c r="P67" s="278">
        <v>394</v>
      </c>
      <c r="Q67" s="278">
        <v>410.8</v>
      </c>
      <c r="R67" s="278">
        <v>423.12400000000002</v>
      </c>
    </row>
    <row r="68" spans="1:18" s="56" customFormat="1" x14ac:dyDescent="0.25">
      <c r="A68" s="69"/>
      <c r="B68" s="80"/>
      <c r="C68" s="150"/>
      <c r="D68" s="74"/>
      <c r="E68" s="125"/>
      <c r="F68" s="125"/>
      <c r="G68" s="125"/>
      <c r="I68" s="211"/>
    </row>
    <row r="69" spans="1:18" s="56" customFormat="1" x14ac:dyDescent="0.25">
      <c r="A69" s="69"/>
      <c r="B69" s="80" t="s">
        <v>186</v>
      </c>
      <c r="C69" s="150"/>
      <c r="D69" s="74"/>
      <c r="I69" s="57"/>
    </row>
    <row r="70" spans="1:18" s="56" customFormat="1" x14ac:dyDescent="0.25">
      <c r="A70" s="69"/>
      <c r="B70" s="80"/>
      <c r="C70" s="150"/>
      <c r="D70" s="74"/>
      <c r="E70" s="125" t="s">
        <v>224</v>
      </c>
      <c r="G70" s="125" t="s">
        <v>188</v>
      </c>
      <c r="I70" s="57" t="s">
        <v>427</v>
      </c>
      <c r="J70" s="278">
        <f t="shared" ref="J70:K81" si="11">J41</f>
        <v>103.2</v>
      </c>
      <c r="K70" s="278">
        <f t="shared" si="11"/>
        <v>105.5</v>
      </c>
      <c r="L70" s="278">
        <v>107.6</v>
      </c>
      <c r="M70" s="278">
        <v>108.6</v>
      </c>
      <c r="N70" s="278">
        <v>110.4</v>
      </c>
      <c r="O70" s="278">
        <v>119</v>
      </c>
      <c r="P70" s="278">
        <v>128.80000000000001</v>
      </c>
      <c r="Q70" s="278">
        <v>133.9</v>
      </c>
      <c r="R70" s="278">
        <v>136.578</v>
      </c>
    </row>
    <row r="71" spans="1:18" s="56" customFormat="1" x14ac:dyDescent="0.25">
      <c r="A71" s="69"/>
      <c r="B71" s="80"/>
      <c r="C71" s="150"/>
      <c r="D71" s="74"/>
      <c r="E71" s="125" t="s">
        <v>225</v>
      </c>
      <c r="G71" s="125" t="s">
        <v>188</v>
      </c>
      <c r="I71" s="57" t="s">
        <v>427</v>
      </c>
      <c r="J71" s="278">
        <f t="shared" si="11"/>
        <v>103.5</v>
      </c>
      <c r="K71" s="278">
        <f t="shared" si="11"/>
        <v>105.9</v>
      </c>
      <c r="L71" s="278">
        <v>107.9</v>
      </c>
      <c r="M71" s="278">
        <v>108.6</v>
      </c>
      <c r="N71" s="278">
        <v>111</v>
      </c>
      <c r="O71" s="278">
        <v>119.7</v>
      </c>
      <c r="P71" s="278">
        <v>129.5</v>
      </c>
      <c r="Q71" s="278">
        <v>134.69999999999999</v>
      </c>
      <c r="R71" s="278">
        <v>137.39399999999998</v>
      </c>
    </row>
    <row r="72" spans="1:18" s="56" customFormat="1" x14ac:dyDescent="0.25">
      <c r="A72" s="69"/>
      <c r="B72" s="80"/>
      <c r="C72" s="150"/>
      <c r="D72" s="74"/>
      <c r="E72" s="125" t="s">
        <v>226</v>
      </c>
      <c r="G72" s="125" t="s">
        <v>188</v>
      </c>
      <c r="I72" s="57" t="s">
        <v>427</v>
      </c>
      <c r="J72" s="278">
        <f t="shared" si="11"/>
        <v>103.5</v>
      </c>
      <c r="K72" s="278">
        <f t="shared" si="11"/>
        <v>105.9</v>
      </c>
      <c r="L72" s="278">
        <v>107.9</v>
      </c>
      <c r="M72" s="278">
        <v>108.8</v>
      </c>
      <c r="N72" s="278">
        <v>111.4</v>
      </c>
      <c r="O72" s="278">
        <v>120.5</v>
      </c>
      <c r="P72" s="278">
        <v>130.4</v>
      </c>
      <c r="Q72" s="278">
        <v>135.6</v>
      </c>
      <c r="R72" s="278">
        <v>138.31199999999998</v>
      </c>
    </row>
    <row r="73" spans="1:18" s="56" customFormat="1" x14ac:dyDescent="0.25">
      <c r="A73" s="69"/>
      <c r="B73" s="80"/>
      <c r="C73" s="150"/>
      <c r="D73" s="74"/>
      <c r="E73" s="125" t="s">
        <v>227</v>
      </c>
      <c r="G73" s="125" t="s">
        <v>188</v>
      </c>
      <c r="I73" s="57" t="s">
        <v>427</v>
      </c>
      <c r="J73" s="278">
        <f t="shared" si="11"/>
        <v>103.5</v>
      </c>
      <c r="K73" s="278">
        <f t="shared" si="11"/>
        <v>105.9</v>
      </c>
      <c r="L73" s="278">
        <v>108</v>
      </c>
      <c r="M73" s="278">
        <v>109.2</v>
      </c>
      <c r="N73" s="278">
        <v>111.4</v>
      </c>
      <c r="O73" s="278">
        <v>121.2</v>
      </c>
      <c r="P73" s="278">
        <v>129.6</v>
      </c>
      <c r="Q73" s="278">
        <v>134.4</v>
      </c>
      <c r="R73" s="278">
        <v>137.08800000000002</v>
      </c>
    </row>
    <row r="74" spans="1:18" s="56" customFormat="1" x14ac:dyDescent="0.25">
      <c r="A74" s="69"/>
      <c r="B74" s="80"/>
      <c r="C74" s="150"/>
      <c r="D74" s="74"/>
      <c r="E74" s="125" t="s">
        <v>228</v>
      </c>
      <c r="G74" s="125" t="s">
        <v>188</v>
      </c>
      <c r="I74" s="57" t="s">
        <v>427</v>
      </c>
      <c r="J74" s="278">
        <f t="shared" si="11"/>
        <v>104</v>
      </c>
      <c r="K74" s="278">
        <f t="shared" si="11"/>
        <v>106.5</v>
      </c>
      <c r="L74" s="278">
        <v>108.3</v>
      </c>
      <c r="M74" s="278">
        <v>108.8</v>
      </c>
      <c r="N74" s="278">
        <v>112.1</v>
      </c>
      <c r="O74" s="278">
        <v>121.8</v>
      </c>
      <c r="P74" s="278">
        <v>130.30000000000001</v>
      </c>
      <c r="Q74" s="278">
        <v>135.1</v>
      </c>
      <c r="R74" s="278">
        <v>137.80199999999999</v>
      </c>
    </row>
    <row r="75" spans="1:18" s="56" customFormat="1" x14ac:dyDescent="0.25">
      <c r="A75" s="69"/>
      <c r="B75" s="80"/>
      <c r="C75" s="150"/>
      <c r="D75" s="74"/>
      <c r="E75" s="125" t="s">
        <v>229</v>
      </c>
      <c r="G75" s="125" t="s">
        <v>188</v>
      </c>
      <c r="I75" s="57" t="s">
        <v>427</v>
      </c>
      <c r="J75" s="278">
        <f t="shared" si="11"/>
        <v>104.3</v>
      </c>
      <c r="K75" s="278">
        <f t="shared" si="11"/>
        <v>106.6</v>
      </c>
      <c r="L75" s="278">
        <v>108.4</v>
      </c>
      <c r="M75" s="278">
        <v>109.2</v>
      </c>
      <c r="N75" s="278">
        <v>112.4</v>
      </c>
      <c r="O75" s="278">
        <v>122.3</v>
      </c>
      <c r="P75" s="278">
        <v>130.80000000000001</v>
      </c>
      <c r="Q75" s="278">
        <v>135.69999999999999</v>
      </c>
      <c r="R75" s="278">
        <v>138.41399999999999</v>
      </c>
    </row>
    <row r="76" spans="1:18" s="56" customFormat="1" x14ac:dyDescent="0.25">
      <c r="A76" s="69"/>
      <c r="B76" s="80"/>
      <c r="C76" s="150"/>
      <c r="D76" s="74"/>
      <c r="E76" s="125" t="s">
        <v>230</v>
      </c>
      <c r="G76" s="125" t="s">
        <v>188</v>
      </c>
      <c r="I76" s="57" t="s">
        <v>427</v>
      </c>
      <c r="J76" s="278">
        <f t="shared" si="11"/>
        <v>104.4</v>
      </c>
      <c r="K76" s="278">
        <f t="shared" si="11"/>
        <v>106.7</v>
      </c>
      <c r="L76" s="278">
        <v>108.3</v>
      </c>
      <c r="M76" s="278">
        <v>109.2</v>
      </c>
      <c r="N76" s="278">
        <v>113.4</v>
      </c>
      <c r="O76" s="278">
        <v>124.3</v>
      </c>
      <c r="P76" s="278">
        <v>130.9</v>
      </c>
      <c r="Q76" s="278">
        <v>134.9</v>
      </c>
      <c r="R76" s="278">
        <v>137.59800000000001</v>
      </c>
    </row>
    <row r="77" spans="1:18" s="56" customFormat="1" x14ac:dyDescent="0.25">
      <c r="A77" s="69"/>
      <c r="B77" s="80"/>
      <c r="C77" s="150"/>
      <c r="D77" s="74"/>
      <c r="E77" s="125" t="s">
        <v>231</v>
      </c>
      <c r="G77" s="125" t="s">
        <v>188</v>
      </c>
      <c r="I77" s="57" t="s">
        <v>427</v>
      </c>
      <c r="J77" s="278">
        <f t="shared" si="11"/>
        <v>104.7</v>
      </c>
      <c r="K77" s="278">
        <f t="shared" si="11"/>
        <v>106.9</v>
      </c>
      <c r="L77" s="278">
        <v>108.5</v>
      </c>
      <c r="M77" s="278">
        <v>109.1</v>
      </c>
      <c r="N77" s="278">
        <v>114.1</v>
      </c>
      <c r="O77" s="278">
        <v>124.8</v>
      </c>
      <c r="P77" s="278">
        <v>131.4</v>
      </c>
      <c r="Q77" s="278">
        <v>135.4</v>
      </c>
      <c r="R77" s="278">
        <v>138.108</v>
      </c>
    </row>
    <row r="78" spans="1:18" s="56" customFormat="1" x14ac:dyDescent="0.25">
      <c r="A78" s="69"/>
      <c r="B78" s="80"/>
      <c r="C78" s="150"/>
      <c r="D78" s="74"/>
      <c r="E78" s="125" t="s">
        <v>232</v>
      </c>
      <c r="G78" s="125" t="s">
        <v>188</v>
      </c>
      <c r="I78" s="57" t="s">
        <v>427</v>
      </c>
      <c r="J78" s="278">
        <f t="shared" si="11"/>
        <v>105</v>
      </c>
      <c r="K78" s="278">
        <f t="shared" si="11"/>
        <v>107.1</v>
      </c>
      <c r="L78" s="278">
        <v>108.5</v>
      </c>
      <c r="M78" s="278">
        <v>109.4</v>
      </c>
      <c r="N78" s="278">
        <v>114.7</v>
      </c>
      <c r="O78" s="278">
        <v>125.3</v>
      </c>
      <c r="P78" s="278">
        <v>132</v>
      </c>
      <c r="Q78" s="278">
        <v>136.1</v>
      </c>
      <c r="R78" s="278">
        <v>138.822</v>
      </c>
    </row>
    <row r="79" spans="1:18" s="56" customFormat="1" x14ac:dyDescent="0.25">
      <c r="A79" s="69"/>
      <c r="B79" s="80"/>
      <c r="C79" s="150"/>
      <c r="D79" s="74"/>
      <c r="E79" s="125" t="s">
        <v>233</v>
      </c>
      <c r="G79" s="125" t="s">
        <v>188</v>
      </c>
      <c r="I79" s="57" t="s">
        <v>427</v>
      </c>
      <c r="J79" s="278">
        <f t="shared" si="11"/>
        <v>104.5</v>
      </c>
      <c r="K79" s="278">
        <f t="shared" si="11"/>
        <v>106.4</v>
      </c>
      <c r="L79" s="278">
        <v>108.3</v>
      </c>
      <c r="M79" s="278">
        <v>109.3</v>
      </c>
      <c r="N79" s="278">
        <v>114.6</v>
      </c>
      <c r="O79" s="278">
        <v>124.8</v>
      </c>
      <c r="P79" s="278">
        <v>130.80000000000001</v>
      </c>
      <c r="Q79" s="278">
        <v>133.80000000000001</v>
      </c>
      <c r="R79" s="278">
        <v>136.47600000000003</v>
      </c>
    </row>
    <row r="80" spans="1:18" s="56" customFormat="1" x14ac:dyDescent="0.25">
      <c r="A80" s="69"/>
      <c r="B80" s="80"/>
      <c r="C80" s="150"/>
      <c r="D80" s="74"/>
      <c r="E80" s="125" t="s">
        <v>234</v>
      </c>
      <c r="G80" s="125" t="s">
        <v>188</v>
      </c>
      <c r="I80" s="57" t="s">
        <v>427</v>
      </c>
      <c r="J80" s="278">
        <f t="shared" si="11"/>
        <v>104.9</v>
      </c>
      <c r="K80" s="278">
        <f t="shared" si="11"/>
        <v>106.8</v>
      </c>
      <c r="L80" s="278">
        <v>108.6</v>
      </c>
      <c r="M80" s="278">
        <v>109.4</v>
      </c>
      <c r="N80" s="278">
        <v>115.4</v>
      </c>
      <c r="O80" s="278">
        <v>126</v>
      </c>
      <c r="P80" s="278">
        <v>132.1</v>
      </c>
      <c r="Q80" s="278">
        <v>135.19999999999999</v>
      </c>
      <c r="R80" s="278">
        <v>137.904</v>
      </c>
    </row>
    <row r="81" spans="1:82" s="56" customFormat="1" x14ac:dyDescent="0.25">
      <c r="A81" s="69"/>
      <c r="B81" s="80"/>
      <c r="C81" s="150"/>
      <c r="D81" s="74"/>
      <c r="E81" s="125" t="s">
        <v>235</v>
      </c>
      <c r="F81" s="125"/>
      <c r="G81" s="125" t="s">
        <v>188</v>
      </c>
      <c r="I81" s="57" t="s">
        <v>427</v>
      </c>
      <c r="J81" s="278">
        <f t="shared" si="11"/>
        <v>105.1</v>
      </c>
      <c r="K81" s="278">
        <f t="shared" si="11"/>
        <v>107</v>
      </c>
      <c r="L81" s="278">
        <v>108.6</v>
      </c>
      <c r="M81" s="278">
        <v>109.7</v>
      </c>
      <c r="N81" s="278">
        <v>116.5</v>
      </c>
      <c r="O81" s="278">
        <v>126.8</v>
      </c>
      <c r="P81" s="278">
        <v>132.9</v>
      </c>
      <c r="Q81" s="278">
        <v>136</v>
      </c>
      <c r="R81" s="278">
        <v>138.72</v>
      </c>
    </row>
    <row r="82" spans="1:82" s="56" customFormat="1" x14ac:dyDescent="0.25">
      <c r="A82" s="69"/>
      <c r="B82" s="80"/>
      <c r="C82" s="150"/>
      <c r="D82" s="74"/>
      <c r="E82" s="125"/>
      <c r="F82" s="125"/>
      <c r="G82" s="125"/>
      <c r="I82" s="211"/>
    </row>
    <row r="83" spans="1:82" s="39" customFormat="1" x14ac:dyDescent="0.25">
      <c r="A83" s="69"/>
      <c r="B83" s="80"/>
      <c r="C83" s="150"/>
      <c r="D83" s="74"/>
      <c r="E83" s="125" t="s">
        <v>271</v>
      </c>
      <c r="F83" s="125"/>
      <c r="G83" s="125" t="s">
        <v>188</v>
      </c>
      <c r="I83" s="211"/>
      <c r="K83" s="308"/>
      <c r="L83" s="308"/>
      <c r="M83" s="308">
        <v>4</v>
      </c>
      <c r="N83" s="308">
        <v>3</v>
      </c>
      <c r="O83" s="308">
        <v>2</v>
      </c>
      <c r="P83" s="308">
        <v>1</v>
      </c>
      <c r="Q83" s="308">
        <v>0</v>
      </c>
      <c r="R83" s="308"/>
    </row>
    <row r="84" spans="1:82" x14ac:dyDescent="0.25">
      <c r="A84" s="69"/>
      <c r="B84" s="80"/>
      <c r="C84" s="150"/>
      <c r="D84" s="74"/>
      <c r="E84" s="56"/>
      <c r="F84" s="56"/>
      <c r="G84" s="56"/>
      <c r="I84" s="57"/>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row>
    <row r="85" spans="1:82" s="56" customFormat="1" x14ac:dyDescent="0.25">
      <c r="A85" s="346" t="s">
        <v>380</v>
      </c>
      <c r="B85" s="347"/>
      <c r="C85" s="348"/>
      <c r="D85" s="348"/>
      <c r="E85" s="348"/>
      <c r="F85" s="348"/>
      <c r="G85" s="348"/>
      <c r="H85" s="348"/>
      <c r="I85" s="348"/>
      <c r="J85" s="348"/>
      <c r="K85" s="348"/>
      <c r="L85" s="348"/>
      <c r="M85" s="348"/>
      <c r="N85" s="348"/>
      <c r="O85" s="348"/>
      <c r="P85" s="348"/>
      <c r="Q85" s="348"/>
      <c r="R85" s="348"/>
    </row>
    <row r="86" spans="1:82" s="56" customFormat="1" x14ac:dyDescent="0.25">
      <c r="A86" s="89"/>
      <c r="B86" s="95" t="s">
        <v>344</v>
      </c>
      <c r="C86" s="342"/>
      <c r="D86" s="91"/>
      <c r="I86" s="57"/>
    </row>
    <row r="87" spans="1:82" s="56" customFormat="1" x14ac:dyDescent="0.25">
      <c r="A87" s="89"/>
      <c r="B87" s="95"/>
      <c r="C87" s="342"/>
      <c r="D87" s="91"/>
      <c r="E87" s="56" t="s">
        <v>325</v>
      </c>
      <c r="F87" s="355">
        <v>156.15683143012828</v>
      </c>
      <c r="G87" s="56" t="s">
        <v>88</v>
      </c>
      <c r="I87" s="57" t="s">
        <v>407</v>
      </c>
    </row>
    <row r="88" spans="1:82" s="56" customFormat="1" x14ac:dyDescent="0.25">
      <c r="A88" s="89"/>
      <c r="B88" s="95"/>
      <c r="C88" s="342"/>
      <c r="D88" s="91"/>
      <c r="E88" s="56" t="s">
        <v>340</v>
      </c>
      <c r="F88" s="355">
        <v>885.97074589756835</v>
      </c>
      <c r="G88" s="56" t="s">
        <v>88</v>
      </c>
      <c r="I88" s="57" t="s">
        <v>408</v>
      </c>
    </row>
    <row r="89" spans="1:82" s="56" customFormat="1" x14ac:dyDescent="0.25">
      <c r="A89" s="89"/>
      <c r="B89" s="95"/>
      <c r="C89" s="342"/>
      <c r="D89" s="91"/>
      <c r="E89" s="56" t="s">
        <v>341</v>
      </c>
      <c r="F89" s="355">
        <v>953.83984644932923</v>
      </c>
      <c r="G89" s="56" t="s">
        <v>88</v>
      </c>
      <c r="I89" s="57" t="s">
        <v>409</v>
      </c>
    </row>
    <row r="90" spans="1:82" s="56" customFormat="1" x14ac:dyDescent="0.25">
      <c r="A90" s="89"/>
      <c r="B90" s="95"/>
      <c r="C90" s="342"/>
      <c r="D90" s="91"/>
      <c r="E90" s="56" t="s">
        <v>342</v>
      </c>
      <c r="F90" s="355">
        <v>71.869584750680133</v>
      </c>
      <c r="G90" s="56" t="s">
        <v>88</v>
      </c>
      <c r="I90" s="57" t="s">
        <v>410</v>
      </c>
    </row>
    <row r="91" spans="1:82" s="56" customFormat="1" x14ac:dyDescent="0.25">
      <c r="A91" s="89"/>
      <c r="B91" s="95"/>
      <c r="C91" s="342"/>
      <c r="D91" s="91"/>
      <c r="E91" s="56" t="s">
        <v>343</v>
      </c>
      <c r="F91" s="355"/>
      <c r="G91" s="56" t="s">
        <v>88</v>
      </c>
      <c r="I91" s="57" t="s">
        <v>411</v>
      </c>
    </row>
    <row r="92" spans="1:82" s="60" customFormat="1" x14ac:dyDescent="0.25">
      <c r="A92" s="69"/>
      <c r="B92" s="80"/>
      <c r="C92" s="150"/>
      <c r="D92" s="74"/>
      <c r="E92" s="56"/>
      <c r="F92" s="56"/>
      <c r="G92" s="56"/>
      <c r="I92" s="344"/>
      <c r="M92" s="255"/>
      <c r="N92" s="255"/>
      <c r="O92" s="255"/>
      <c r="P92" s="255"/>
      <c r="Q92" s="255"/>
      <c r="R92" s="255"/>
    </row>
    <row r="93" spans="1:82" x14ac:dyDescent="0.25">
      <c r="A93" s="69"/>
      <c r="B93" s="80" t="s">
        <v>345</v>
      </c>
      <c r="C93" s="150"/>
      <c r="D93" s="74"/>
      <c r="E93" s="56"/>
      <c r="F93" s="56"/>
      <c r="G93" s="56"/>
      <c r="I93" s="344"/>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row>
    <row r="94" spans="1:82" s="56" customFormat="1" x14ac:dyDescent="0.25">
      <c r="A94" s="69"/>
      <c r="B94" s="80"/>
      <c r="C94" s="150"/>
      <c r="D94" s="74"/>
      <c r="E94" s="56" t="s">
        <v>326</v>
      </c>
      <c r="G94" s="56" t="s">
        <v>94</v>
      </c>
      <c r="I94" s="344" t="s">
        <v>412</v>
      </c>
      <c r="M94" s="291">
        <v>5.57E-2</v>
      </c>
      <c r="N94" s="291">
        <v>5.57E-2</v>
      </c>
      <c r="O94" s="291">
        <v>5.57E-2</v>
      </c>
      <c r="P94" s="291">
        <v>5.57E-2</v>
      </c>
      <c r="Q94" s="291">
        <v>5.57E-2</v>
      </c>
      <c r="R94" s="291"/>
    </row>
    <row r="95" spans="1:82" s="56" customFormat="1" x14ac:dyDescent="0.25">
      <c r="A95" s="69"/>
      <c r="B95" s="80"/>
      <c r="C95" s="150"/>
      <c r="D95" s="74"/>
      <c r="E95" s="56" t="s">
        <v>324</v>
      </c>
      <c r="G95" s="56" t="s">
        <v>94</v>
      </c>
      <c r="I95" s="344" t="s">
        <v>413</v>
      </c>
      <c r="M95" s="291">
        <v>4.7899999999999998E-2</v>
      </c>
      <c r="N95" s="291">
        <v>4.7899999999999998E-2</v>
      </c>
      <c r="O95" s="291">
        <v>4.7899999999999998E-2</v>
      </c>
      <c r="P95" s="291">
        <v>4.7899999999999998E-2</v>
      </c>
      <c r="Q95" s="291">
        <v>4.7899999999999998E-2</v>
      </c>
      <c r="R95" s="291"/>
    </row>
    <row r="96" spans="1:82" s="56" customFormat="1" x14ac:dyDescent="0.25">
      <c r="A96" s="69"/>
      <c r="B96" s="80"/>
      <c r="C96" s="150"/>
      <c r="D96" s="74"/>
      <c r="E96" s="56" t="s">
        <v>327</v>
      </c>
      <c r="G96" s="56" t="s">
        <v>94</v>
      </c>
      <c r="I96" s="344" t="s">
        <v>414</v>
      </c>
      <c r="M96" s="291">
        <v>4.6300000000000001E-2</v>
      </c>
      <c r="N96" s="291">
        <v>4.6300000000000001E-2</v>
      </c>
      <c r="O96" s="291">
        <v>4.6300000000000001E-2</v>
      </c>
      <c r="P96" s="291">
        <v>4.6300000000000001E-2</v>
      </c>
      <c r="Q96" s="291">
        <v>4.6300000000000001E-2</v>
      </c>
      <c r="R96" s="291"/>
    </row>
    <row r="97" spans="1:26" s="56" customFormat="1" x14ac:dyDescent="0.25">
      <c r="A97" s="69"/>
      <c r="B97" s="80"/>
      <c r="C97" s="150"/>
      <c r="D97" s="74"/>
      <c r="E97" s="56" t="s">
        <v>328</v>
      </c>
      <c r="G97" s="56" t="s">
        <v>94</v>
      </c>
      <c r="I97" s="344" t="s">
        <v>415</v>
      </c>
      <c r="M97" s="291">
        <v>7.9899999999999999E-2</v>
      </c>
      <c r="N97" s="291">
        <v>7.9899999999999999E-2</v>
      </c>
      <c r="O97" s="291">
        <v>7.9899999999999999E-2</v>
      </c>
      <c r="P97" s="291">
        <v>7.9899999999999999E-2</v>
      </c>
      <c r="Q97" s="291">
        <v>7.9899999999999999E-2</v>
      </c>
      <c r="R97" s="291"/>
    </row>
    <row r="98" spans="1:26" s="56" customFormat="1" x14ac:dyDescent="0.25">
      <c r="A98" s="69"/>
      <c r="B98" s="80"/>
      <c r="C98" s="150"/>
      <c r="D98" s="74"/>
      <c r="E98" s="56" t="s">
        <v>329</v>
      </c>
      <c r="G98" s="56" t="s">
        <v>94</v>
      </c>
      <c r="I98" s="344" t="s">
        <v>416</v>
      </c>
      <c r="M98" s="291"/>
      <c r="N98" s="291"/>
      <c r="O98" s="291"/>
      <c r="P98" s="291"/>
      <c r="Q98" s="291"/>
      <c r="R98" s="291"/>
    </row>
    <row r="99" spans="1:26" s="60" customFormat="1" x14ac:dyDescent="0.25">
      <c r="A99" s="69"/>
      <c r="B99" s="80"/>
      <c r="C99" s="150"/>
      <c r="D99" s="74"/>
      <c r="E99" s="56"/>
      <c r="F99" s="56"/>
      <c r="G99" s="56"/>
      <c r="I99" s="344"/>
      <c r="M99" s="255"/>
      <c r="N99" s="255"/>
      <c r="O99" s="255"/>
      <c r="P99" s="255"/>
      <c r="Q99" s="255"/>
      <c r="R99" s="255"/>
    </row>
    <row r="100" spans="1:26" s="60" customFormat="1" x14ac:dyDescent="0.25">
      <c r="A100" s="89"/>
      <c r="B100" s="95" t="s">
        <v>346</v>
      </c>
      <c r="C100" s="342"/>
      <c r="D100" s="91"/>
      <c r="E100" s="56"/>
      <c r="F100" s="56"/>
      <c r="G100" s="56"/>
      <c r="I100" s="344"/>
      <c r="J100" s="56"/>
      <c r="M100" s="255"/>
      <c r="N100" s="255"/>
      <c r="O100" s="255"/>
      <c r="P100" s="255"/>
      <c r="Q100" s="255"/>
      <c r="R100" s="255"/>
    </row>
    <row r="101" spans="1:26" s="60" customFormat="1" x14ac:dyDescent="0.25">
      <c r="A101" s="89"/>
      <c r="B101" s="95"/>
      <c r="C101" s="342"/>
      <c r="D101" s="91"/>
      <c r="E101" s="56" t="s">
        <v>331</v>
      </c>
      <c r="F101" s="56"/>
      <c r="G101" s="56" t="s">
        <v>94</v>
      </c>
      <c r="I101" s="344" t="s">
        <v>417</v>
      </c>
      <c r="J101" s="56"/>
      <c r="M101" s="291">
        <v>2.2181345335277269E-2</v>
      </c>
      <c r="N101" s="291">
        <v>2.2181345335277269E-2</v>
      </c>
      <c r="O101" s="291">
        <v>2.2181345335277269E-2</v>
      </c>
      <c r="P101" s="291">
        <v>2.2181345335277269E-2</v>
      </c>
      <c r="Q101" s="291">
        <v>2.2181345335277269E-2</v>
      </c>
      <c r="R101" s="291"/>
      <c r="T101" s="60">
        <v>2.9195763820156317E-2</v>
      </c>
      <c r="U101" s="60">
        <v>2.9195763820156317E-2</v>
      </c>
      <c r="V101" s="60">
        <v>2.9195763820156317E-2</v>
      </c>
      <c r="W101" s="60">
        <v>2.9195763820156317E-2</v>
      </c>
      <c r="X101" s="60">
        <v>2.9195763820156317E-2</v>
      </c>
      <c r="Y101" s="60">
        <v>2.9195763820156317E-2</v>
      </c>
      <c r="Z101" s="60">
        <v>2.9195763820156317E-2</v>
      </c>
    </row>
    <row r="102" spans="1:26" s="60" customFormat="1" x14ac:dyDescent="0.25">
      <c r="A102" s="89"/>
      <c r="B102" s="95"/>
      <c r="C102" s="342"/>
      <c r="D102" s="91"/>
      <c r="E102" s="56" t="s">
        <v>333</v>
      </c>
      <c r="F102" s="56"/>
      <c r="G102" s="56" t="s">
        <v>94</v>
      </c>
      <c r="I102" s="344" t="s">
        <v>418</v>
      </c>
      <c r="J102" s="56"/>
      <c r="M102" s="291">
        <v>2.2181345335277269E-2</v>
      </c>
      <c r="N102" s="291">
        <v>2.2181345335277269E-2</v>
      </c>
      <c r="O102" s="291">
        <v>2.2181345335277269E-2</v>
      </c>
      <c r="P102" s="291">
        <v>2.2181345335277269E-2</v>
      </c>
      <c r="Q102" s="291">
        <v>2.2181345335277269E-2</v>
      </c>
      <c r="R102" s="291"/>
    </row>
    <row r="103" spans="1:26" s="60" customFormat="1" x14ac:dyDescent="0.25">
      <c r="A103" s="89"/>
      <c r="B103" s="95"/>
      <c r="C103" s="342"/>
      <c r="D103" s="91"/>
      <c r="E103" s="56" t="s">
        <v>335</v>
      </c>
      <c r="F103" s="56"/>
      <c r="G103" s="56" t="s">
        <v>94</v>
      </c>
      <c r="I103" s="344" t="s">
        <v>419</v>
      </c>
      <c r="J103" s="56"/>
      <c r="M103" s="291">
        <v>2.2181345335277269E-2</v>
      </c>
      <c r="N103" s="291">
        <v>2.2181345335277269E-2</v>
      </c>
      <c r="O103" s="291">
        <v>2.2181345335277269E-2</v>
      </c>
      <c r="P103" s="291">
        <v>2.2181345335277269E-2</v>
      </c>
      <c r="Q103" s="291">
        <v>2.2181345335277269E-2</v>
      </c>
      <c r="R103" s="291"/>
    </row>
    <row r="104" spans="1:26" s="60" customFormat="1" x14ac:dyDescent="0.25">
      <c r="A104" s="89"/>
      <c r="B104" s="95"/>
      <c r="C104" s="342"/>
      <c r="D104" s="91"/>
      <c r="E104" s="56" t="s">
        <v>337</v>
      </c>
      <c r="F104" s="56"/>
      <c r="G104" s="56" t="s">
        <v>94</v>
      </c>
      <c r="I104" s="344" t="s">
        <v>420</v>
      </c>
      <c r="J104" s="56"/>
      <c r="M104" s="291">
        <v>2.2181345335277269E-2</v>
      </c>
      <c r="N104" s="291">
        <v>2.2181345335277269E-2</v>
      </c>
      <c r="O104" s="291">
        <v>2.2181345335277269E-2</v>
      </c>
      <c r="P104" s="291">
        <v>2.2181345335277269E-2</v>
      </c>
      <c r="Q104" s="291">
        <v>2.2181345335277269E-2</v>
      </c>
      <c r="R104" s="291"/>
    </row>
    <row r="105" spans="1:26" s="60" customFormat="1" x14ac:dyDescent="0.25">
      <c r="A105" s="89"/>
      <c r="B105" s="95"/>
      <c r="C105" s="342"/>
      <c r="D105" s="91"/>
      <c r="E105" s="56" t="s">
        <v>339</v>
      </c>
      <c r="F105" s="56"/>
      <c r="G105" s="56" t="s">
        <v>94</v>
      </c>
      <c r="I105" s="344" t="s">
        <v>421</v>
      </c>
      <c r="J105" s="56"/>
      <c r="M105" s="291"/>
      <c r="N105" s="291"/>
      <c r="O105" s="291"/>
      <c r="P105" s="291"/>
      <c r="Q105" s="291"/>
      <c r="R105" s="291"/>
    </row>
    <row r="106" spans="1:26" s="60" customFormat="1" x14ac:dyDescent="0.25">
      <c r="A106" s="69"/>
      <c r="B106" s="80"/>
      <c r="C106" s="150"/>
      <c r="D106" s="74"/>
      <c r="E106" s="56"/>
      <c r="F106" s="56"/>
      <c r="G106" s="56"/>
      <c r="I106" s="344"/>
      <c r="M106" s="255"/>
      <c r="N106" s="255"/>
      <c r="O106" s="255"/>
      <c r="P106" s="255"/>
      <c r="Q106" s="255"/>
      <c r="R106" s="255"/>
    </row>
    <row r="107" spans="1:26" s="60" customFormat="1" x14ac:dyDescent="0.25">
      <c r="A107" s="69"/>
      <c r="B107" s="95" t="s">
        <v>347</v>
      </c>
      <c r="C107" s="150"/>
      <c r="D107" s="74"/>
      <c r="E107" s="56"/>
      <c r="F107" s="56"/>
      <c r="G107" s="56"/>
      <c r="I107" s="344"/>
      <c r="M107" s="255"/>
      <c r="N107" s="255"/>
      <c r="O107" s="255"/>
      <c r="P107" s="255"/>
      <c r="Q107" s="255"/>
      <c r="R107" s="255"/>
    </row>
    <row r="108" spans="1:26" s="60" customFormat="1" x14ac:dyDescent="0.25">
      <c r="A108" s="69"/>
      <c r="B108" s="95"/>
      <c r="C108" s="150"/>
      <c r="D108" s="74"/>
      <c r="E108" s="56" t="s">
        <v>330</v>
      </c>
      <c r="F108" s="56"/>
      <c r="G108" s="56" t="s">
        <v>94</v>
      </c>
      <c r="I108" s="344" t="s">
        <v>422</v>
      </c>
      <c r="M108" s="291">
        <v>3.1200592500000068E-2</v>
      </c>
      <c r="N108" s="291">
        <v>3.1200592500000068E-2</v>
      </c>
      <c r="O108" s="291">
        <v>3.1200592500000068E-2</v>
      </c>
      <c r="P108" s="291">
        <v>3.1200592500000068E-2</v>
      </c>
      <c r="Q108" s="291">
        <v>3.1200592500000068E-2</v>
      </c>
      <c r="R108" s="291"/>
      <c r="T108" s="60">
        <v>2.9195763820156317E-2</v>
      </c>
      <c r="U108" s="60">
        <v>2.9195763820156317E-2</v>
      </c>
      <c r="V108" s="60">
        <v>2.9195763820156317E-2</v>
      </c>
      <c r="W108" s="60">
        <v>2.9195763820156317E-2</v>
      </c>
      <c r="X108" s="60">
        <v>2.9195763820156317E-2</v>
      </c>
      <c r="Y108" s="60">
        <v>2.9195763820156317E-2</v>
      </c>
      <c r="Z108" s="60">
        <v>2.9195763820156317E-2</v>
      </c>
    </row>
    <row r="109" spans="1:26" s="60" customFormat="1" x14ac:dyDescent="0.25">
      <c r="A109" s="69"/>
      <c r="B109" s="95"/>
      <c r="C109" s="150"/>
      <c r="D109" s="74"/>
      <c r="E109" s="56" t="s">
        <v>332</v>
      </c>
      <c r="F109" s="56"/>
      <c r="G109" s="56" t="s">
        <v>94</v>
      </c>
      <c r="I109" s="344" t="s">
        <v>423</v>
      </c>
      <c r="M109" s="291">
        <v>3.1200592500000068E-2</v>
      </c>
      <c r="N109" s="291">
        <v>3.1200592500000068E-2</v>
      </c>
      <c r="O109" s="291">
        <v>3.1200592500000068E-2</v>
      </c>
      <c r="P109" s="291">
        <v>3.1200592500000068E-2</v>
      </c>
      <c r="Q109" s="291">
        <v>3.1200592500000068E-2</v>
      </c>
      <c r="R109" s="291"/>
    </row>
    <row r="110" spans="1:26" s="60" customFormat="1" x14ac:dyDescent="0.25">
      <c r="A110" s="69"/>
      <c r="B110" s="95"/>
      <c r="C110" s="150"/>
      <c r="D110" s="74"/>
      <c r="E110" s="56" t="s">
        <v>334</v>
      </c>
      <c r="F110" s="56"/>
      <c r="G110" s="56" t="s">
        <v>94</v>
      </c>
      <c r="I110" s="344" t="s">
        <v>424</v>
      </c>
      <c r="M110" s="291">
        <v>3.1200592500000068E-2</v>
      </c>
      <c r="N110" s="291">
        <v>3.1200592500000068E-2</v>
      </c>
      <c r="O110" s="291">
        <v>3.1200592500000068E-2</v>
      </c>
      <c r="P110" s="291">
        <v>3.1200592500000068E-2</v>
      </c>
      <c r="Q110" s="291">
        <v>3.1200592500000068E-2</v>
      </c>
      <c r="R110" s="291"/>
    </row>
    <row r="111" spans="1:26" s="60" customFormat="1" x14ac:dyDescent="0.25">
      <c r="A111" s="69"/>
      <c r="B111" s="95"/>
      <c r="C111" s="150"/>
      <c r="D111" s="74"/>
      <c r="E111" s="56" t="s">
        <v>336</v>
      </c>
      <c r="F111" s="56"/>
      <c r="G111" s="56" t="s">
        <v>94</v>
      </c>
      <c r="I111" s="344" t="s">
        <v>425</v>
      </c>
      <c r="M111" s="291">
        <v>3.1200592500000068E-2</v>
      </c>
      <c r="N111" s="291">
        <v>3.1200592500000068E-2</v>
      </c>
      <c r="O111" s="291">
        <v>3.1200592500000068E-2</v>
      </c>
      <c r="P111" s="291">
        <v>3.1200592500000068E-2</v>
      </c>
      <c r="Q111" s="291">
        <v>3.1200592500000068E-2</v>
      </c>
      <c r="R111" s="291"/>
    </row>
    <row r="112" spans="1:26" s="60" customFormat="1" x14ac:dyDescent="0.25">
      <c r="A112" s="69"/>
      <c r="B112" s="95"/>
      <c r="C112" s="150"/>
      <c r="D112" s="74"/>
      <c r="E112" s="56" t="s">
        <v>338</v>
      </c>
      <c r="F112" s="56"/>
      <c r="G112" s="56" t="s">
        <v>94</v>
      </c>
      <c r="I112" s="344" t="s">
        <v>426</v>
      </c>
      <c r="M112" s="291"/>
      <c r="N112" s="291"/>
      <c r="O112" s="291"/>
      <c r="P112" s="291"/>
      <c r="Q112" s="291"/>
      <c r="R112" s="291"/>
    </row>
    <row r="113" spans="1:27" s="56" customFormat="1" x14ac:dyDescent="0.25">
      <c r="A113" s="69"/>
      <c r="B113" s="80"/>
      <c r="C113" s="150"/>
      <c r="D113" s="74"/>
    </row>
    <row r="114" spans="1:27" s="56" customFormat="1" x14ac:dyDescent="0.25">
      <c r="A114" s="346" t="s">
        <v>89</v>
      </c>
      <c r="B114" s="347"/>
      <c r="C114" s="348"/>
      <c r="D114" s="348"/>
      <c r="E114" s="348"/>
      <c r="F114" s="348"/>
      <c r="G114" s="348"/>
      <c r="H114" s="348"/>
      <c r="I114" s="348"/>
      <c r="J114" s="348"/>
      <c r="K114" s="348"/>
      <c r="L114" s="348"/>
      <c r="M114" s="348"/>
      <c r="N114" s="348"/>
      <c r="O114" s="348"/>
      <c r="P114" s="348"/>
      <c r="Q114" s="348"/>
      <c r="R114" s="348"/>
    </row>
    <row r="115" spans="1:27" s="56" customFormat="1" x14ac:dyDescent="0.25">
      <c r="A115" s="69"/>
      <c r="B115" s="80"/>
      <c r="C115" s="150"/>
      <c r="D115" s="74"/>
    </row>
    <row r="116" spans="1:27" s="56" customFormat="1" x14ac:dyDescent="0.25">
      <c r="A116" s="69"/>
      <c r="B116" s="80" t="s">
        <v>90</v>
      </c>
      <c r="C116" s="150"/>
      <c r="D116" s="74"/>
    </row>
    <row r="117" spans="1:27" s="56" customFormat="1" x14ac:dyDescent="0.25">
      <c r="A117" s="69"/>
      <c r="B117" s="80"/>
      <c r="C117" s="150"/>
      <c r="D117" s="74"/>
      <c r="E117" s="56" t="s">
        <v>91</v>
      </c>
      <c r="F117" s="134">
        <v>1E-3</v>
      </c>
      <c r="G117" s="56" t="s">
        <v>92</v>
      </c>
    </row>
    <row r="118" spans="1:27" s="56" customFormat="1" x14ac:dyDescent="0.25">
      <c r="A118" s="69"/>
      <c r="B118" s="80"/>
      <c r="C118" s="150"/>
      <c r="D118" s="74"/>
      <c r="E118" s="56" t="s">
        <v>172</v>
      </c>
      <c r="F118" s="134">
        <v>1E-3</v>
      </c>
      <c r="G118" s="56" t="s">
        <v>92</v>
      </c>
    </row>
    <row r="119" spans="1:27" s="56" customFormat="1" x14ac:dyDescent="0.25">
      <c r="A119" s="69"/>
      <c r="B119" s="80"/>
      <c r="C119" s="150"/>
      <c r="D119" s="74"/>
    </row>
    <row r="120" spans="1:27" s="56" customFormat="1" x14ac:dyDescent="0.25">
      <c r="A120" s="69"/>
      <c r="B120" s="80"/>
      <c r="C120" s="150"/>
      <c r="D120" s="74"/>
    </row>
    <row r="121" spans="1:27" s="199" customFormat="1" x14ac:dyDescent="0.25">
      <c r="A121" s="194" t="s">
        <v>62</v>
      </c>
      <c r="B121" s="195"/>
      <c r="C121" s="196"/>
      <c r="D121" s="197"/>
    </row>
    <row r="122" spans="1:27" ht="12.65" customHeight="1" x14ac:dyDescent="0.25">
      <c r="B122" s="80"/>
      <c r="C122" s="150"/>
      <c r="D122" s="74"/>
      <c r="E122" s="56"/>
      <c r="F122" s="56"/>
      <c r="G122" s="56"/>
      <c r="H122" s="56"/>
      <c r="I122" s="56"/>
      <c r="J122" s="56"/>
      <c r="K122" s="56"/>
      <c r="L122" s="56"/>
      <c r="M122" s="56"/>
      <c r="N122" s="56"/>
      <c r="O122" s="56"/>
      <c r="P122" s="56"/>
      <c r="Q122" s="56"/>
      <c r="R122" s="56"/>
      <c r="S122" s="56"/>
      <c r="T122" s="56"/>
      <c r="U122" s="56"/>
      <c r="V122" s="56"/>
      <c r="W122" s="56"/>
      <c r="X122" s="56"/>
      <c r="Y122" s="56"/>
      <c r="Z122" s="56"/>
      <c r="AA122" s="56"/>
    </row>
    <row r="123" spans="1:27" s="193" customFormat="1" hidden="1" x14ac:dyDescent="0.25">
      <c r="A123" s="69"/>
      <c r="B123" s="229"/>
      <c r="C123" s="230"/>
      <c r="D123" s="231"/>
      <c r="T123" s="212"/>
      <c r="U123" s="212"/>
      <c r="V123" s="212"/>
      <c r="W123" s="212"/>
      <c r="X123" s="212"/>
      <c r="Y123" s="212"/>
      <c r="Z123" s="212"/>
      <c r="AA123" s="212"/>
    </row>
    <row r="124" spans="1:27" hidden="1" x14ac:dyDescent="0.25">
      <c r="B124" s="80"/>
      <c r="C124" s="150"/>
      <c r="D124" s="74"/>
      <c r="E124" s="56"/>
      <c r="F124" s="56"/>
      <c r="G124" s="56"/>
      <c r="H124" s="56"/>
      <c r="I124" s="56"/>
      <c r="J124" s="56"/>
      <c r="K124" s="56"/>
      <c r="L124" s="56"/>
      <c r="M124" s="56"/>
      <c r="N124" s="56"/>
      <c r="O124" s="56"/>
      <c r="P124" s="56"/>
      <c r="Q124" s="56"/>
      <c r="R124" s="56"/>
      <c r="S124" s="56"/>
      <c r="T124" s="56"/>
      <c r="U124" s="56"/>
      <c r="V124" s="56"/>
      <c r="W124" s="56"/>
      <c r="X124" s="56"/>
      <c r="Y124" s="56"/>
      <c r="Z124" s="56"/>
      <c r="AA124" s="56"/>
    </row>
    <row r="125" spans="1:27" s="193" customFormat="1" hidden="1" x14ac:dyDescent="0.25">
      <c r="A125" s="69"/>
      <c r="B125" s="229"/>
      <c r="C125" s="230"/>
      <c r="D125" s="231"/>
      <c r="T125" s="212"/>
      <c r="U125" s="212"/>
      <c r="V125" s="212"/>
      <c r="W125" s="212"/>
      <c r="X125" s="212"/>
      <c r="Y125" s="212"/>
      <c r="Z125" s="212"/>
      <c r="AA125" s="212"/>
    </row>
    <row r="126" spans="1:27" hidden="1" x14ac:dyDescent="0.25">
      <c r="B126" s="80"/>
      <c r="C126" s="150"/>
      <c r="D126" s="74"/>
      <c r="E126" s="56"/>
      <c r="F126" s="56"/>
      <c r="G126" s="56"/>
      <c r="H126" s="56"/>
      <c r="I126" s="56"/>
      <c r="J126" s="56"/>
      <c r="K126" s="56"/>
      <c r="L126" s="56"/>
      <c r="M126" s="254"/>
      <c r="N126" s="254"/>
      <c r="O126" s="254"/>
      <c r="P126" s="254"/>
      <c r="Q126" s="254"/>
      <c r="R126" s="56"/>
      <c r="S126" s="56"/>
      <c r="T126" s="56"/>
      <c r="U126" s="56"/>
      <c r="V126" s="56"/>
      <c r="W126" s="56"/>
      <c r="X126" s="56"/>
      <c r="Y126" s="56"/>
      <c r="Z126" s="56"/>
      <c r="AA126" s="56"/>
    </row>
    <row r="127" spans="1:27" s="247" customFormat="1" hidden="1" x14ac:dyDescent="0.25">
      <c r="A127" s="243"/>
      <c r="B127" s="244"/>
      <c r="C127" s="245"/>
      <c r="D127" s="246"/>
      <c r="T127" s="248"/>
      <c r="U127" s="248"/>
      <c r="V127" s="248"/>
      <c r="W127" s="248"/>
      <c r="X127" s="248"/>
      <c r="Y127" s="248"/>
      <c r="Z127" s="248"/>
      <c r="AA127" s="248"/>
    </row>
    <row r="128" spans="1:27" hidden="1" x14ac:dyDescent="0.25">
      <c r="B128" s="80"/>
      <c r="C128" s="150"/>
      <c r="D128" s="74"/>
      <c r="E128" s="56"/>
      <c r="F128" s="56"/>
      <c r="G128" s="56"/>
      <c r="H128" s="56"/>
      <c r="I128" s="56"/>
      <c r="J128" s="56"/>
      <c r="K128" s="56"/>
      <c r="L128" s="56"/>
      <c r="M128" s="56"/>
      <c r="N128" s="56"/>
      <c r="O128" s="56"/>
      <c r="P128" s="56"/>
      <c r="Q128" s="56"/>
      <c r="R128" s="56"/>
      <c r="S128" s="56"/>
      <c r="T128" s="56"/>
      <c r="U128" s="56"/>
      <c r="V128" s="56"/>
      <c r="W128" s="56"/>
      <c r="X128" s="56"/>
      <c r="Y128" s="56"/>
      <c r="Z128" s="56"/>
      <c r="AA128" s="56"/>
    </row>
    <row r="129" spans="2:27" hidden="1" x14ac:dyDescent="0.25">
      <c r="B129" s="80"/>
      <c r="C129" s="150"/>
      <c r="D129" s="74"/>
      <c r="E129" s="56"/>
      <c r="F129" s="56"/>
      <c r="G129" s="56"/>
      <c r="H129" s="56"/>
      <c r="I129" s="56"/>
      <c r="J129" s="56"/>
      <c r="K129" s="56"/>
      <c r="L129" s="56"/>
      <c r="M129" s="56"/>
      <c r="N129" s="56"/>
      <c r="O129" s="56"/>
      <c r="P129" s="56"/>
      <c r="Q129" s="56"/>
      <c r="R129" s="56"/>
      <c r="S129" s="56"/>
      <c r="T129" s="56"/>
      <c r="U129" s="56"/>
      <c r="V129" s="56"/>
      <c r="W129" s="56"/>
      <c r="X129" s="56"/>
      <c r="Y129" s="56"/>
      <c r="Z129" s="56"/>
      <c r="AA129" s="56"/>
    </row>
    <row r="130" spans="2:27" hidden="1" x14ac:dyDescent="0.25">
      <c r="B130" s="80"/>
      <c r="C130" s="150"/>
      <c r="D130" s="74"/>
      <c r="E130" s="56"/>
      <c r="F130" s="56"/>
      <c r="G130" s="56"/>
      <c r="H130" s="56"/>
      <c r="I130" s="56"/>
      <c r="J130" s="56"/>
      <c r="K130" s="56"/>
      <c r="L130" s="56"/>
      <c r="M130" s="56"/>
      <c r="N130" s="56"/>
      <c r="O130" s="56"/>
      <c r="P130" s="56"/>
      <c r="Q130" s="56"/>
      <c r="R130" s="56"/>
      <c r="S130" s="56"/>
      <c r="T130" s="56"/>
      <c r="U130" s="56"/>
      <c r="V130" s="56"/>
      <c r="W130" s="56"/>
      <c r="X130" s="56"/>
      <c r="Y130" s="56"/>
      <c r="Z130" s="56"/>
      <c r="AA130" s="56"/>
    </row>
    <row r="131" spans="2:27" hidden="1" x14ac:dyDescent="0.25">
      <c r="B131" s="80"/>
      <c r="C131" s="150"/>
      <c r="D131" s="74"/>
      <c r="E131" s="56"/>
      <c r="F131" s="56"/>
      <c r="G131" s="56"/>
      <c r="H131" s="56"/>
      <c r="I131" s="56"/>
      <c r="J131" s="56"/>
      <c r="K131" s="56"/>
      <c r="L131" s="56"/>
      <c r="M131" s="56"/>
      <c r="N131" s="56"/>
      <c r="O131" s="56"/>
      <c r="P131" s="56"/>
      <c r="Q131" s="56"/>
      <c r="R131" s="56"/>
      <c r="S131" s="56"/>
      <c r="T131" s="56"/>
      <c r="U131" s="56"/>
      <c r="V131" s="56"/>
      <c r="W131" s="56"/>
      <c r="X131" s="56"/>
      <c r="Y131" s="56"/>
      <c r="Z131" s="56"/>
      <c r="AA131" s="56"/>
    </row>
    <row r="132" spans="2:27" hidden="1" x14ac:dyDescent="0.25">
      <c r="B132" s="80"/>
      <c r="C132" s="150"/>
      <c r="D132" s="74"/>
      <c r="E132" s="56"/>
      <c r="F132" s="56"/>
      <c r="G132" s="56"/>
      <c r="H132" s="56"/>
      <c r="I132" s="56"/>
      <c r="J132" s="56"/>
      <c r="K132" s="56"/>
      <c r="L132" s="56"/>
      <c r="M132" s="56"/>
      <c r="N132" s="56"/>
      <c r="O132" s="56"/>
      <c r="P132" s="56"/>
      <c r="Q132" s="56"/>
      <c r="R132" s="56"/>
      <c r="S132" s="56"/>
      <c r="T132" s="56"/>
      <c r="U132" s="56"/>
      <c r="V132" s="56"/>
      <c r="W132" s="56"/>
      <c r="X132" s="56"/>
      <c r="Y132" s="56"/>
      <c r="Z132" s="56"/>
      <c r="AA132" s="56"/>
    </row>
    <row r="133" spans="2:27" hidden="1" x14ac:dyDescent="0.25">
      <c r="B133" s="80"/>
      <c r="C133" s="150"/>
      <c r="D133" s="74"/>
      <c r="E133" s="56"/>
      <c r="F133" s="56"/>
      <c r="G133" s="56"/>
      <c r="H133" s="56"/>
      <c r="I133" s="56"/>
      <c r="J133" s="56"/>
      <c r="K133" s="56"/>
      <c r="L133" s="56"/>
      <c r="M133" s="56"/>
      <c r="N133" s="56"/>
      <c r="O133" s="56"/>
      <c r="P133" s="56"/>
      <c r="Q133" s="56"/>
      <c r="R133" s="56"/>
      <c r="S133" s="56"/>
      <c r="T133" s="56"/>
      <c r="U133" s="56"/>
      <c r="V133" s="56"/>
      <c r="W133" s="56"/>
      <c r="X133" s="56"/>
      <c r="Y133" s="56"/>
      <c r="Z133" s="56"/>
      <c r="AA133" s="56"/>
    </row>
    <row r="134" spans="2:27" hidden="1" x14ac:dyDescent="0.25">
      <c r="B134" s="80"/>
      <c r="C134" s="150"/>
      <c r="D134" s="74"/>
      <c r="E134" s="56"/>
      <c r="F134" s="56"/>
      <c r="G134" s="56"/>
      <c r="H134" s="56"/>
      <c r="I134" s="56"/>
      <c r="J134" s="56"/>
      <c r="K134" s="56"/>
      <c r="L134" s="56"/>
      <c r="M134" s="56"/>
      <c r="N134" s="56"/>
      <c r="O134" s="56"/>
      <c r="P134" s="56"/>
      <c r="Q134" s="56"/>
      <c r="R134" s="56"/>
      <c r="S134" s="56"/>
      <c r="T134" s="56"/>
      <c r="U134" s="56"/>
      <c r="V134" s="56"/>
      <c r="W134" s="56"/>
      <c r="X134" s="56"/>
      <c r="Y134" s="56"/>
      <c r="Z134" s="56"/>
      <c r="AA134" s="56"/>
    </row>
    <row r="135" spans="2:27" hidden="1" x14ac:dyDescent="0.25">
      <c r="B135" s="80"/>
      <c r="C135" s="150"/>
      <c r="D135" s="74"/>
      <c r="E135" s="56"/>
      <c r="F135" s="56"/>
      <c r="G135" s="56"/>
      <c r="H135" s="56"/>
      <c r="I135" s="56"/>
      <c r="J135" s="56"/>
      <c r="K135" s="56"/>
      <c r="L135" s="56"/>
      <c r="M135" s="56"/>
      <c r="N135" s="56"/>
      <c r="O135" s="56"/>
      <c r="P135" s="56"/>
      <c r="Q135" s="56"/>
      <c r="R135" s="56"/>
      <c r="S135" s="56"/>
      <c r="T135" s="56"/>
      <c r="U135" s="56"/>
      <c r="V135" s="56"/>
      <c r="W135" s="56"/>
      <c r="X135" s="56"/>
      <c r="Y135" s="56"/>
      <c r="Z135" s="56"/>
      <c r="AA135" s="56"/>
    </row>
    <row r="136" spans="2:27" hidden="1" x14ac:dyDescent="0.25">
      <c r="B136" s="80"/>
      <c r="C136" s="150"/>
      <c r="D136" s="74"/>
      <c r="E136" s="56"/>
      <c r="F136" s="56"/>
      <c r="G136" s="56"/>
      <c r="H136" s="56"/>
      <c r="I136" s="56"/>
      <c r="J136" s="56"/>
      <c r="K136" s="56"/>
      <c r="L136" s="56"/>
      <c r="M136" s="56"/>
      <c r="N136" s="56"/>
      <c r="O136" s="56"/>
      <c r="P136" s="56"/>
      <c r="Q136" s="56"/>
      <c r="R136" s="56"/>
      <c r="S136" s="56"/>
      <c r="T136" s="56"/>
      <c r="U136" s="56"/>
      <c r="V136" s="56"/>
      <c r="W136" s="56"/>
      <c r="X136" s="56"/>
      <c r="Y136" s="56"/>
      <c r="Z136" s="56"/>
      <c r="AA136" s="56"/>
    </row>
    <row r="137" spans="2:27" hidden="1" x14ac:dyDescent="0.25">
      <c r="B137" s="80"/>
      <c r="C137" s="150"/>
      <c r="D137" s="74"/>
      <c r="E137" s="56"/>
      <c r="F137" s="56"/>
      <c r="G137" s="56"/>
      <c r="H137" s="56"/>
      <c r="I137" s="56"/>
      <c r="J137" s="56"/>
      <c r="K137" s="56"/>
      <c r="L137" s="56"/>
      <c r="M137" s="56"/>
      <c r="N137" s="56"/>
      <c r="O137" s="56"/>
      <c r="P137" s="56"/>
      <c r="Q137" s="56"/>
      <c r="R137" s="56"/>
      <c r="S137" s="56"/>
      <c r="T137" s="56"/>
      <c r="U137" s="56"/>
      <c r="V137" s="56"/>
      <c r="W137" s="56"/>
      <c r="X137" s="56"/>
      <c r="Y137" s="56"/>
      <c r="Z137" s="56"/>
      <c r="AA137" s="56"/>
    </row>
    <row r="138" spans="2:27" hidden="1" x14ac:dyDescent="0.25">
      <c r="B138" s="80"/>
      <c r="C138" s="150"/>
      <c r="D138" s="74"/>
    </row>
    <row r="139" spans="2:27" hidden="1" x14ac:dyDescent="0.25">
      <c r="B139" s="80"/>
      <c r="C139" s="150"/>
      <c r="D139" s="74"/>
    </row>
    <row r="140" spans="2:27" hidden="1" x14ac:dyDescent="0.25">
      <c r="B140" s="80"/>
      <c r="C140" s="150"/>
      <c r="D140" s="74"/>
    </row>
    <row r="141" spans="2:27" hidden="1" x14ac:dyDescent="0.25">
      <c r="B141" s="80"/>
      <c r="C141" s="150"/>
      <c r="D141" s="74"/>
    </row>
    <row r="142" spans="2:27" hidden="1" x14ac:dyDescent="0.25">
      <c r="B142" s="80"/>
      <c r="C142" s="150"/>
      <c r="D142" s="74"/>
    </row>
    <row r="143" spans="2:27" hidden="1" x14ac:dyDescent="0.25">
      <c r="B143" s="80"/>
      <c r="C143" s="150"/>
      <c r="D143" s="74"/>
    </row>
    <row r="144" spans="2:27" hidden="1" x14ac:dyDescent="0.25">
      <c r="B144" s="80"/>
      <c r="C144" s="150"/>
      <c r="D144" s="74"/>
    </row>
    <row r="145" spans="2:4" hidden="1" x14ac:dyDescent="0.25">
      <c r="B145" s="80"/>
      <c r="C145" s="150"/>
      <c r="D145" s="74"/>
    </row>
    <row r="146" spans="2:4" hidden="1" x14ac:dyDescent="0.25">
      <c r="B146" s="80"/>
      <c r="C146" s="150"/>
      <c r="D146" s="74"/>
    </row>
    <row r="147" spans="2:4" hidden="1" x14ac:dyDescent="0.25">
      <c r="B147" s="80"/>
      <c r="C147" s="150"/>
      <c r="D147" s="74"/>
    </row>
    <row r="148" spans="2:4" hidden="1" x14ac:dyDescent="0.25">
      <c r="B148" s="80"/>
      <c r="C148" s="150"/>
      <c r="D148" s="74"/>
    </row>
    <row r="149" spans="2:4" hidden="1" x14ac:dyDescent="0.25">
      <c r="B149" s="80"/>
      <c r="C149" s="150"/>
      <c r="D149" s="74"/>
    </row>
    <row r="150" spans="2:4" hidden="1" x14ac:dyDescent="0.25">
      <c r="B150" s="80"/>
      <c r="C150" s="150"/>
      <c r="D150" s="74"/>
    </row>
    <row r="151" spans="2:4" hidden="1" x14ac:dyDescent="0.25">
      <c r="B151" s="80"/>
      <c r="C151" s="150"/>
      <c r="D151" s="74"/>
    </row>
    <row r="152" spans="2:4" hidden="1" x14ac:dyDescent="0.25">
      <c r="B152" s="80"/>
      <c r="C152" s="150"/>
      <c r="D152" s="74"/>
    </row>
    <row r="153" spans="2:4" hidden="1" x14ac:dyDescent="0.25">
      <c r="B153" s="80"/>
      <c r="C153" s="150"/>
      <c r="D153" s="74"/>
    </row>
    <row r="154" spans="2:4" hidden="1" x14ac:dyDescent="0.25">
      <c r="B154" s="80"/>
      <c r="C154" s="150"/>
      <c r="D154" s="74"/>
    </row>
    <row r="155" spans="2:4" hidden="1" x14ac:dyDescent="0.25">
      <c r="B155" s="80"/>
      <c r="C155" s="150"/>
      <c r="D155" s="74"/>
    </row>
    <row r="156" spans="2:4" hidden="1" x14ac:dyDescent="0.25">
      <c r="B156" s="80"/>
      <c r="C156" s="150"/>
      <c r="D156" s="74"/>
    </row>
    <row r="157" spans="2:4" hidden="1" x14ac:dyDescent="0.25">
      <c r="B157" s="80"/>
      <c r="C157" s="150"/>
      <c r="D157" s="74"/>
    </row>
    <row r="158" spans="2:4" hidden="1" x14ac:dyDescent="0.25">
      <c r="B158" s="80"/>
      <c r="C158" s="150"/>
      <c r="D158" s="74"/>
    </row>
    <row r="159" spans="2:4" hidden="1" x14ac:dyDescent="0.25">
      <c r="B159" s="80"/>
      <c r="C159" s="150"/>
      <c r="D159" s="74"/>
    </row>
    <row r="160" spans="2:4" hidden="1" x14ac:dyDescent="0.25">
      <c r="B160" s="80"/>
      <c r="C160" s="150"/>
      <c r="D160" s="74"/>
    </row>
    <row r="161" spans="2:4" hidden="1" x14ac:dyDescent="0.25">
      <c r="B161" s="80"/>
      <c r="C161" s="150"/>
      <c r="D161" s="74"/>
    </row>
    <row r="162" spans="2:4" hidden="1" x14ac:dyDescent="0.25">
      <c r="B162" s="80"/>
      <c r="C162" s="150"/>
      <c r="D162" s="74"/>
    </row>
    <row r="163" spans="2:4" hidden="1" x14ac:dyDescent="0.25">
      <c r="B163" s="80"/>
      <c r="C163" s="150"/>
      <c r="D163" s="74"/>
    </row>
    <row r="164" spans="2:4" hidden="1" x14ac:dyDescent="0.25">
      <c r="B164" s="80"/>
      <c r="C164" s="150"/>
      <c r="D164" s="74"/>
    </row>
    <row r="165" spans="2:4" hidden="1" x14ac:dyDescent="0.25">
      <c r="B165" s="80"/>
      <c r="C165" s="150"/>
      <c r="D165" s="74"/>
    </row>
    <row r="166" spans="2:4" hidden="1" x14ac:dyDescent="0.25">
      <c r="B166" s="80"/>
      <c r="C166" s="150"/>
      <c r="D166" s="74"/>
    </row>
    <row r="167" spans="2:4" hidden="1" x14ac:dyDescent="0.25">
      <c r="B167" s="80"/>
      <c r="C167" s="150"/>
      <c r="D167" s="74"/>
    </row>
    <row r="168" spans="2:4" hidden="1" x14ac:dyDescent="0.25">
      <c r="B168" s="80"/>
      <c r="C168" s="150"/>
      <c r="D168" s="74"/>
    </row>
    <row r="169" spans="2:4" hidden="1" x14ac:dyDescent="0.25">
      <c r="B169" s="80"/>
      <c r="C169" s="150"/>
      <c r="D169" s="74"/>
    </row>
    <row r="170" spans="2:4" hidden="1" x14ac:dyDescent="0.25">
      <c r="B170" s="80"/>
      <c r="C170" s="150"/>
      <c r="D170" s="74"/>
    </row>
    <row r="171" spans="2:4" hidden="1" x14ac:dyDescent="0.25">
      <c r="B171" s="80"/>
      <c r="C171" s="150"/>
      <c r="D171" s="74"/>
    </row>
    <row r="172" spans="2:4" hidden="1" x14ac:dyDescent="0.25">
      <c r="B172" s="80"/>
      <c r="C172" s="150"/>
      <c r="D172" s="74"/>
    </row>
    <row r="173" spans="2:4" hidden="1" x14ac:dyDescent="0.25">
      <c r="B173" s="80"/>
      <c r="C173" s="150"/>
      <c r="D173" s="74"/>
    </row>
    <row r="174" spans="2:4" hidden="1" x14ac:dyDescent="0.25">
      <c r="B174" s="80"/>
      <c r="C174" s="150"/>
      <c r="D174" s="74"/>
    </row>
    <row r="175" spans="2:4" hidden="1" x14ac:dyDescent="0.25">
      <c r="B175" s="80"/>
      <c r="C175" s="150"/>
      <c r="D175" s="74"/>
    </row>
    <row r="176" spans="2:4" hidden="1" x14ac:dyDescent="0.25">
      <c r="B176" s="80"/>
      <c r="C176" s="150"/>
      <c r="D176" s="74"/>
    </row>
    <row r="177" spans="2:4" hidden="1" x14ac:dyDescent="0.25">
      <c r="B177" s="80"/>
      <c r="C177" s="150"/>
      <c r="D177" s="74"/>
    </row>
    <row r="178" spans="2:4" hidden="1" x14ac:dyDescent="0.25">
      <c r="B178" s="80"/>
      <c r="C178" s="150"/>
      <c r="D178" s="74"/>
    </row>
    <row r="179" spans="2:4" hidden="1" x14ac:dyDescent="0.25">
      <c r="B179" s="80"/>
      <c r="C179" s="150"/>
      <c r="D179" s="74"/>
    </row>
    <row r="180" spans="2:4" hidden="1" x14ac:dyDescent="0.25">
      <c r="B180" s="80"/>
      <c r="C180" s="150"/>
      <c r="D180" s="74"/>
    </row>
    <row r="181" spans="2:4" hidden="1" x14ac:dyDescent="0.25">
      <c r="B181" s="80"/>
      <c r="C181" s="150"/>
      <c r="D181" s="74"/>
    </row>
    <row r="182" spans="2:4" hidden="1" x14ac:dyDescent="0.25">
      <c r="B182" s="80"/>
      <c r="C182" s="150"/>
      <c r="D182" s="74"/>
    </row>
    <row r="183" spans="2:4" hidden="1" x14ac:dyDescent="0.25">
      <c r="B183" s="80"/>
      <c r="C183" s="150"/>
      <c r="D183" s="74"/>
    </row>
    <row r="184" spans="2:4" hidden="1" x14ac:dyDescent="0.25">
      <c r="B184" s="80"/>
      <c r="C184" s="150"/>
      <c r="D184" s="74"/>
    </row>
    <row r="185" spans="2:4" hidden="1" x14ac:dyDescent="0.25">
      <c r="B185" s="80"/>
      <c r="C185" s="150"/>
      <c r="D185" s="74"/>
    </row>
    <row r="186" spans="2:4" hidden="1" x14ac:dyDescent="0.25">
      <c r="B186" s="80"/>
      <c r="C186" s="150"/>
      <c r="D186" s="74"/>
    </row>
    <row r="187" spans="2:4" hidden="1" x14ac:dyDescent="0.25">
      <c r="B187" s="80"/>
      <c r="C187" s="150"/>
      <c r="D187" s="74"/>
    </row>
    <row r="188" spans="2:4" hidden="1" x14ac:dyDescent="0.25">
      <c r="B188" s="80"/>
      <c r="C188" s="150"/>
      <c r="D188" s="74"/>
    </row>
    <row r="189" spans="2:4" hidden="1" x14ac:dyDescent="0.25">
      <c r="B189" s="80"/>
      <c r="C189" s="150"/>
      <c r="D189" s="74"/>
    </row>
    <row r="190" spans="2:4" hidden="1" x14ac:dyDescent="0.25">
      <c r="B190" s="80"/>
      <c r="C190" s="150"/>
      <c r="D190" s="74"/>
    </row>
    <row r="191" spans="2:4" hidden="1" x14ac:dyDescent="0.25">
      <c r="B191" s="80"/>
      <c r="C191" s="150"/>
      <c r="D191" s="74"/>
    </row>
    <row r="192" spans="2:4" hidden="1" x14ac:dyDescent="0.25">
      <c r="B192" s="80"/>
      <c r="C192" s="150"/>
      <c r="D192" s="74"/>
    </row>
    <row r="193" spans="2:5" hidden="1" x14ac:dyDescent="0.25">
      <c r="B193" s="80"/>
      <c r="C193" s="150"/>
      <c r="D193" s="74"/>
    </row>
    <row r="194" spans="2:5" hidden="1" x14ac:dyDescent="0.25">
      <c r="B194" s="80"/>
      <c r="C194" s="150"/>
      <c r="D194" s="74"/>
    </row>
    <row r="195" spans="2:5" hidden="1" x14ac:dyDescent="0.25">
      <c r="B195" s="80"/>
      <c r="C195" s="150"/>
      <c r="D195" s="74"/>
    </row>
    <row r="196" spans="2:5" hidden="1" x14ac:dyDescent="0.25">
      <c r="B196" s="80"/>
      <c r="C196" s="150"/>
      <c r="D196" s="74"/>
    </row>
    <row r="197" spans="2:5" hidden="1" x14ac:dyDescent="0.25">
      <c r="B197" s="80"/>
      <c r="C197" s="150"/>
      <c r="D197" s="74"/>
    </row>
    <row r="198" spans="2:5" hidden="1" x14ac:dyDescent="0.25">
      <c r="B198" s="80"/>
      <c r="C198" s="150"/>
      <c r="D198" s="74"/>
    </row>
    <row r="199" spans="2:5" hidden="1" x14ac:dyDescent="0.25">
      <c r="B199" s="80"/>
      <c r="C199" s="150"/>
      <c r="D199" s="74"/>
    </row>
    <row r="200" spans="2:5" hidden="1" x14ac:dyDescent="0.25">
      <c r="B200" s="80"/>
      <c r="C200" s="150"/>
      <c r="D200" s="74"/>
    </row>
    <row r="201" spans="2:5" hidden="1" x14ac:dyDescent="0.25">
      <c r="B201" s="80"/>
      <c r="C201" s="150"/>
      <c r="D201" s="74"/>
    </row>
    <row r="202" spans="2:5" hidden="1" x14ac:dyDescent="0.25">
      <c r="B202" s="80"/>
      <c r="C202" s="150"/>
      <c r="D202" s="74"/>
      <c r="E202" s="56"/>
    </row>
    <row r="203" spans="2:5" hidden="1" x14ac:dyDescent="0.25">
      <c r="B203" s="80"/>
      <c r="C203" s="150"/>
      <c r="D203" s="74"/>
      <c r="E203" s="56"/>
    </row>
    <row r="204" spans="2:5" hidden="1" x14ac:dyDescent="0.25">
      <c r="B204" s="80"/>
      <c r="C204" s="150"/>
      <c r="D204" s="74"/>
      <c r="E204" s="56"/>
    </row>
    <row r="205" spans="2:5" hidden="1" x14ac:dyDescent="0.25">
      <c r="B205" s="80"/>
      <c r="C205" s="150"/>
      <c r="D205" s="74"/>
      <c r="E205" s="56"/>
    </row>
    <row r="206" spans="2:5" hidden="1" x14ac:dyDescent="0.25">
      <c r="B206" s="80"/>
      <c r="C206" s="150"/>
      <c r="D206" s="74"/>
      <c r="E206" s="56"/>
    </row>
    <row r="207" spans="2:5" hidden="1" x14ac:dyDescent="0.25">
      <c r="B207" s="80"/>
      <c r="C207" s="150"/>
      <c r="D207" s="74"/>
      <c r="E207" s="56"/>
    </row>
    <row r="208" spans="2:5" hidden="1" x14ac:dyDescent="0.25">
      <c r="B208" s="80"/>
      <c r="C208" s="150"/>
      <c r="D208" s="74"/>
      <c r="E208" s="56"/>
    </row>
    <row r="209" spans="2:5" hidden="1" x14ac:dyDescent="0.25">
      <c r="B209" s="80"/>
      <c r="C209" s="150"/>
      <c r="D209" s="74"/>
      <c r="E209" s="56"/>
    </row>
    <row r="210" spans="2:5" hidden="1" x14ac:dyDescent="0.25">
      <c r="B210" s="80"/>
      <c r="C210" s="150"/>
      <c r="D210" s="74"/>
      <c r="E210" s="56"/>
    </row>
    <row r="211" spans="2:5" hidden="1" x14ac:dyDescent="0.25">
      <c r="B211" s="80"/>
      <c r="C211" s="150"/>
      <c r="D211" s="74"/>
      <c r="E211" s="56"/>
    </row>
    <row r="212" spans="2:5" hidden="1" x14ac:dyDescent="0.25">
      <c r="B212" s="80"/>
      <c r="C212" s="150"/>
      <c r="D212" s="74"/>
      <c r="E212" s="56"/>
    </row>
    <row r="213" spans="2:5" hidden="1" x14ac:dyDescent="0.25">
      <c r="B213" s="80"/>
      <c r="C213" s="150"/>
      <c r="D213" s="74"/>
      <c r="E213" s="136"/>
    </row>
    <row r="214" spans="2:5" hidden="1" x14ac:dyDescent="0.25">
      <c r="B214" s="80"/>
      <c r="C214" s="150"/>
      <c r="D214" s="74"/>
      <c r="E214" s="56"/>
    </row>
    <row r="215" spans="2:5" hidden="1" x14ac:dyDescent="0.25">
      <c r="B215" s="80"/>
      <c r="C215" s="150"/>
      <c r="D215" s="74"/>
      <c r="E215" s="56"/>
    </row>
    <row r="216" spans="2:5" hidden="1" x14ac:dyDescent="0.25">
      <c r="B216" s="80"/>
      <c r="C216" s="150"/>
      <c r="D216" s="74"/>
      <c r="E216" s="56"/>
    </row>
    <row r="217" spans="2:5" hidden="1" x14ac:dyDescent="0.25">
      <c r="B217" s="80"/>
      <c r="C217" s="150"/>
      <c r="D217" s="74"/>
      <c r="E217" s="56"/>
    </row>
    <row r="218" spans="2:5" hidden="1" x14ac:dyDescent="0.25">
      <c r="B218" s="80"/>
      <c r="C218" s="150"/>
      <c r="D218" s="74"/>
    </row>
    <row r="219" spans="2:5" hidden="1" x14ac:dyDescent="0.25">
      <c r="B219" s="80"/>
      <c r="C219" s="150"/>
      <c r="D219" s="74"/>
    </row>
    <row r="220" spans="2:5" hidden="1" x14ac:dyDescent="0.25">
      <c r="B220" s="80"/>
      <c r="C220" s="150"/>
      <c r="D220" s="74"/>
    </row>
    <row r="221" spans="2:5" hidden="1" x14ac:dyDescent="0.25">
      <c r="B221" s="80"/>
      <c r="C221" s="150"/>
      <c r="D221" s="74"/>
    </row>
    <row r="222" spans="2:5" hidden="1" x14ac:dyDescent="0.25">
      <c r="B222" s="80"/>
      <c r="C222" s="150"/>
      <c r="D222" s="74"/>
    </row>
    <row r="223" spans="2:5" hidden="1" x14ac:dyDescent="0.25">
      <c r="B223" s="80"/>
      <c r="C223" s="150"/>
      <c r="D223" s="74"/>
    </row>
    <row r="224" spans="2:5" hidden="1" x14ac:dyDescent="0.25">
      <c r="B224" s="80"/>
      <c r="C224" s="150"/>
      <c r="D224" s="74"/>
    </row>
    <row r="225" spans="2:4" hidden="1" x14ac:dyDescent="0.25">
      <c r="B225" s="80"/>
      <c r="C225" s="150"/>
      <c r="D225" s="74"/>
    </row>
    <row r="226" spans="2:4" hidden="1" x14ac:dyDescent="0.25">
      <c r="B226" s="80"/>
      <c r="C226" s="150"/>
      <c r="D226" s="74"/>
    </row>
    <row r="227" spans="2:4" hidden="1" x14ac:dyDescent="0.25">
      <c r="B227" s="80"/>
      <c r="C227" s="150"/>
      <c r="D227" s="74"/>
    </row>
    <row r="228" spans="2:4" hidden="1" x14ac:dyDescent="0.25">
      <c r="B228" s="80"/>
      <c r="C228" s="150"/>
      <c r="D228" s="74"/>
    </row>
    <row r="229" spans="2:4" hidden="1" x14ac:dyDescent="0.25">
      <c r="B229" s="80"/>
      <c r="C229" s="150"/>
      <c r="D229" s="74"/>
    </row>
    <row r="230" spans="2:4" hidden="1" x14ac:dyDescent="0.25">
      <c r="B230" s="80"/>
      <c r="C230" s="150"/>
      <c r="D230" s="74"/>
    </row>
    <row r="231" spans="2:4" hidden="1" x14ac:dyDescent="0.25">
      <c r="B231" s="80"/>
      <c r="C231" s="150"/>
      <c r="D231" s="74"/>
    </row>
    <row r="232" spans="2:4" hidden="1" x14ac:dyDescent="0.25">
      <c r="B232" s="80"/>
      <c r="C232" s="150"/>
      <c r="D232" s="74"/>
    </row>
    <row r="233" spans="2:4" hidden="1" x14ac:dyDescent="0.25">
      <c r="B233" s="80"/>
      <c r="C233" s="150"/>
      <c r="D233" s="74"/>
    </row>
    <row r="234" spans="2:4" hidden="1" x14ac:dyDescent="0.25">
      <c r="B234" s="80"/>
      <c r="C234" s="150"/>
      <c r="D234" s="74"/>
    </row>
    <row r="235" spans="2:4" hidden="1" x14ac:dyDescent="0.25">
      <c r="B235" s="80"/>
      <c r="C235" s="150"/>
      <c r="D235" s="74"/>
    </row>
    <row r="236" spans="2:4" hidden="1" x14ac:dyDescent="0.25">
      <c r="B236" s="80"/>
      <c r="C236" s="150"/>
      <c r="D236" s="74"/>
    </row>
    <row r="237" spans="2:4" hidden="1" x14ac:dyDescent="0.25">
      <c r="B237" s="80"/>
      <c r="C237" s="150"/>
      <c r="D237" s="74"/>
    </row>
    <row r="238" spans="2:4" hidden="1" x14ac:dyDescent="0.25">
      <c r="B238" s="80"/>
      <c r="C238" s="150"/>
      <c r="D238" s="74"/>
    </row>
    <row r="239" spans="2:4" hidden="1" x14ac:dyDescent="0.25">
      <c r="B239" s="80"/>
      <c r="C239" s="150"/>
      <c r="D239" s="74"/>
    </row>
    <row r="240" spans="2:4" hidden="1" x14ac:dyDescent="0.25">
      <c r="B240" s="80"/>
      <c r="C240" s="150"/>
      <c r="D240" s="74"/>
    </row>
    <row r="241" spans="2:4" hidden="1" x14ac:dyDescent="0.25">
      <c r="B241" s="80"/>
      <c r="C241" s="150"/>
      <c r="D241" s="74"/>
    </row>
    <row r="242" spans="2:4" hidden="1" x14ac:dyDescent="0.25">
      <c r="B242" s="80"/>
      <c r="C242" s="150"/>
      <c r="D242" s="74"/>
    </row>
    <row r="243" spans="2:4" hidden="1" x14ac:dyDescent="0.25">
      <c r="B243" s="80"/>
      <c r="C243" s="150"/>
      <c r="D243" s="74"/>
    </row>
    <row r="244" spans="2:4" hidden="1" x14ac:dyDescent="0.25">
      <c r="B244" s="80"/>
      <c r="C244" s="150"/>
      <c r="D244" s="74"/>
    </row>
    <row r="245" spans="2:4" hidden="1" x14ac:dyDescent="0.25">
      <c r="B245" s="80"/>
      <c r="C245" s="150"/>
      <c r="D245" s="74"/>
    </row>
    <row r="246" spans="2:4" hidden="1" x14ac:dyDescent="0.25">
      <c r="B246" s="80"/>
      <c r="C246" s="150"/>
      <c r="D246" s="74"/>
    </row>
    <row r="247" spans="2:4" hidden="1" x14ac:dyDescent="0.25">
      <c r="B247" s="80"/>
      <c r="C247" s="150"/>
      <c r="D247" s="74"/>
    </row>
    <row r="248" spans="2:4" hidden="1" x14ac:dyDescent="0.25">
      <c r="B248" s="80"/>
      <c r="C248" s="150"/>
      <c r="D248" s="74"/>
    </row>
    <row r="249" spans="2:4" hidden="1" x14ac:dyDescent="0.25">
      <c r="B249" s="80"/>
      <c r="C249" s="150"/>
      <c r="D249" s="74"/>
    </row>
    <row r="250" spans="2:4" hidden="1" x14ac:dyDescent="0.25">
      <c r="B250" s="80"/>
      <c r="C250" s="150"/>
      <c r="D250" s="74"/>
    </row>
    <row r="251" spans="2:4" hidden="1" x14ac:dyDescent="0.25">
      <c r="B251" s="80"/>
      <c r="C251" s="150"/>
      <c r="D251" s="74"/>
    </row>
    <row r="252" spans="2:4" hidden="1" x14ac:dyDescent="0.25">
      <c r="B252" s="80"/>
      <c r="C252" s="150"/>
      <c r="D252" s="74"/>
    </row>
    <row r="253" spans="2:4" hidden="1" x14ac:dyDescent="0.25">
      <c r="B253" s="80"/>
      <c r="C253" s="150"/>
      <c r="D253" s="74"/>
    </row>
    <row r="254" spans="2:4" hidden="1" x14ac:dyDescent="0.25">
      <c r="B254" s="80"/>
      <c r="C254" s="150"/>
      <c r="D254" s="74"/>
    </row>
    <row r="255" spans="2:4" hidden="1" x14ac:dyDescent="0.25">
      <c r="B255" s="80"/>
      <c r="C255" s="150"/>
      <c r="D255" s="74"/>
    </row>
    <row r="256" spans="2:4" hidden="1" x14ac:dyDescent="0.25">
      <c r="B256" s="80"/>
      <c r="C256" s="150"/>
      <c r="D256" s="74"/>
    </row>
    <row r="257" spans="2:4" hidden="1" x14ac:dyDescent="0.25">
      <c r="B257" s="80"/>
      <c r="C257" s="150"/>
      <c r="D257" s="74"/>
    </row>
    <row r="258" spans="2:4" hidden="1" x14ac:dyDescent="0.25">
      <c r="B258" s="80"/>
      <c r="C258" s="150"/>
      <c r="D258" s="74"/>
    </row>
    <row r="259" spans="2:4" hidden="1" x14ac:dyDescent="0.25">
      <c r="B259" s="80"/>
      <c r="C259" s="150"/>
      <c r="D259" s="74"/>
    </row>
    <row r="260" spans="2:4" hidden="1" x14ac:dyDescent="0.25">
      <c r="B260" s="80"/>
      <c r="C260" s="150"/>
      <c r="D260" s="74"/>
    </row>
    <row r="261" spans="2:4" hidden="1" x14ac:dyDescent="0.25">
      <c r="B261" s="80"/>
      <c r="C261" s="150"/>
      <c r="D261" s="74"/>
    </row>
    <row r="262" spans="2:4" hidden="1" x14ac:dyDescent="0.25">
      <c r="B262" s="80"/>
      <c r="C262" s="150"/>
      <c r="D262" s="74"/>
    </row>
    <row r="263" spans="2:4" hidden="1" x14ac:dyDescent="0.25">
      <c r="B263" s="80"/>
      <c r="C263" s="150"/>
      <c r="D263" s="74"/>
    </row>
    <row r="264" spans="2:4" hidden="1" x14ac:dyDescent="0.25">
      <c r="B264" s="80"/>
      <c r="C264" s="150"/>
      <c r="D264" s="74"/>
    </row>
    <row r="265" spans="2:4" hidden="1" x14ac:dyDescent="0.25">
      <c r="B265" s="80"/>
      <c r="C265" s="150"/>
      <c r="D265" s="74"/>
    </row>
    <row r="266" spans="2:4" hidden="1" x14ac:dyDescent="0.25">
      <c r="B266" s="80"/>
      <c r="C266" s="150"/>
      <c r="D266" s="74"/>
    </row>
    <row r="267" spans="2:4" hidden="1" x14ac:dyDescent="0.25">
      <c r="B267" s="80"/>
      <c r="C267" s="150"/>
      <c r="D267" s="74"/>
    </row>
    <row r="268" spans="2:4" hidden="1" x14ac:dyDescent="0.25">
      <c r="B268" s="80"/>
      <c r="C268" s="150"/>
      <c r="D268" s="74"/>
    </row>
    <row r="269" spans="2:4" hidden="1" x14ac:dyDescent="0.25">
      <c r="B269" s="80"/>
      <c r="C269" s="150"/>
      <c r="D269" s="74"/>
    </row>
    <row r="270" spans="2:4" hidden="1" x14ac:dyDescent="0.25">
      <c r="B270" s="80"/>
      <c r="C270" s="150"/>
      <c r="D270" s="74"/>
    </row>
    <row r="271" spans="2:4" hidden="1" x14ac:dyDescent="0.25">
      <c r="B271" s="80"/>
      <c r="C271" s="150"/>
      <c r="D271" s="74"/>
    </row>
    <row r="272" spans="2:4" hidden="1" x14ac:dyDescent="0.25">
      <c r="B272" s="80"/>
      <c r="C272" s="150"/>
      <c r="D272" s="74"/>
    </row>
    <row r="273" spans="2:4" hidden="1" x14ac:dyDescent="0.25">
      <c r="B273" s="80"/>
      <c r="C273" s="150"/>
      <c r="D273" s="74"/>
    </row>
    <row r="274" spans="2:4" hidden="1" x14ac:dyDescent="0.25">
      <c r="B274" s="80"/>
      <c r="C274" s="150"/>
      <c r="D274" s="74"/>
    </row>
    <row r="275" spans="2:4" hidden="1" x14ac:dyDescent="0.25">
      <c r="B275" s="80"/>
      <c r="C275" s="150"/>
      <c r="D275" s="74"/>
    </row>
    <row r="276" spans="2:4" hidden="1" x14ac:dyDescent="0.25">
      <c r="B276" s="80"/>
      <c r="C276" s="150"/>
      <c r="D276" s="74"/>
    </row>
    <row r="277" spans="2:4" hidden="1" x14ac:dyDescent="0.25">
      <c r="B277" s="80"/>
      <c r="C277" s="150"/>
      <c r="D277" s="74"/>
    </row>
    <row r="278" spans="2:4" hidden="1" x14ac:dyDescent="0.25">
      <c r="B278" s="80"/>
      <c r="C278" s="150"/>
      <c r="D278" s="74"/>
    </row>
    <row r="279" spans="2:4" hidden="1" x14ac:dyDescent="0.25">
      <c r="B279" s="80"/>
      <c r="C279" s="150"/>
      <c r="D279" s="74"/>
    </row>
    <row r="280" spans="2:4" hidden="1" x14ac:dyDescent="0.25">
      <c r="B280" s="80"/>
      <c r="C280" s="150"/>
      <c r="D280" s="74"/>
    </row>
    <row r="281" spans="2:4" hidden="1" x14ac:dyDescent="0.25">
      <c r="B281" s="80"/>
      <c r="C281" s="150"/>
      <c r="D281" s="74"/>
    </row>
    <row r="282" spans="2:4" hidden="1" x14ac:dyDescent="0.25">
      <c r="B282" s="80"/>
      <c r="C282" s="150"/>
      <c r="D282" s="74"/>
    </row>
    <row r="283" spans="2:4" hidden="1" x14ac:dyDescent="0.25">
      <c r="B283" s="80"/>
      <c r="C283" s="150"/>
      <c r="D283" s="74"/>
    </row>
    <row r="284" spans="2:4" hidden="1" x14ac:dyDescent="0.25">
      <c r="B284" s="80"/>
      <c r="C284" s="150"/>
      <c r="D284" s="74"/>
    </row>
    <row r="285" spans="2:4" hidden="1" x14ac:dyDescent="0.25">
      <c r="B285" s="80"/>
      <c r="C285" s="150"/>
      <c r="D285" s="74"/>
    </row>
    <row r="286" spans="2:4" hidden="1" x14ac:dyDescent="0.25">
      <c r="B286" s="80"/>
      <c r="C286" s="150"/>
      <c r="D286" s="74"/>
    </row>
    <row r="287" spans="2:4" hidden="1" x14ac:dyDescent="0.25">
      <c r="B287" s="80"/>
      <c r="C287" s="150"/>
      <c r="D287" s="74"/>
    </row>
    <row r="288" spans="2:4" hidden="1" x14ac:dyDescent="0.25">
      <c r="B288" s="80"/>
      <c r="C288" s="150"/>
      <c r="D288" s="74"/>
    </row>
    <row r="289" spans="2:4" hidden="1" x14ac:dyDescent="0.25">
      <c r="B289" s="80"/>
      <c r="C289" s="150"/>
      <c r="D289" s="74"/>
    </row>
    <row r="290" spans="2:4" hidden="1" x14ac:dyDescent="0.25">
      <c r="B290" s="80"/>
      <c r="C290" s="150"/>
      <c r="D290" s="74"/>
    </row>
    <row r="291" spans="2:4" hidden="1" x14ac:dyDescent="0.25">
      <c r="B291" s="80"/>
      <c r="C291" s="150"/>
      <c r="D291" s="74"/>
    </row>
    <row r="292" spans="2:4" hidden="1" x14ac:dyDescent="0.25">
      <c r="B292" s="80"/>
      <c r="C292" s="150"/>
      <c r="D292" s="74"/>
    </row>
    <row r="293" spans="2:4" hidden="1" x14ac:dyDescent="0.25">
      <c r="B293" s="80"/>
      <c r="C293" s="150"/>
      <c r="D293" s="74"/>
    </row>
    <row r="294" spans="2:4" hidden="1" x14ac:dyDescent="0.25">
      <c r="B294" s="80"/>
      <c r="C294" s="150"/>
      <c r="D294" s="74"/>
    </row>
    <row r="295" spans="2:4" hidden="1" x14ac:dyDescent="0.25">
      <c r="B295" s="80"/>
      <c r="C295" s="150"/>
      <c r="D295" s="74"/>
    </row>
    <row r="296" spans="2:4" hidden="1" x14ac:dyDescent="0.25">
      <c r="B296" s="80"/>
      <c r="C296" s="150"/>
      <c r="D296" s="74"/>
    </row>
    <row r="297" spans="2:4" hidden="1" x14ac:dyDescent="0.25">
      <c r="B297" s="80"/>
      <c r="C297" s="150"/>
      <c r="D297" s="74"/>
    </row>
    <row r="298" spans="2:4" hidden="1" x14ac:dyDescent="0.25">
      <c r="B298" s="80"/>
      <c r="C298" s="150"/>
      <c r="D298" s="74"/>
    </row>
    <row r="299" spans="2:4" hidden="1" x14ac:dyDescent="0.25">
      <c r="B299" s="80"/>
      <c r="C299" s="150"/>
      <c r="D299" s="74"/>
    </row>
    <row r="300" spans="2:4" hidden="1" x14ac:dyDescent="0.25">
      <c r="B300" s="80"/>
      <c r="C300" s="150"/>
      <c r="D300" s="74"/>
    </row>
    <row r="301" spans="2:4" hidden="1" x14ac:dyDescent="0.25">
      <c r="B301" s="80"/>
      <c r="C301" s="150"/>
      <c r="D301" s="74"/>
    </row>
    <row r="302" spans="2:4" hidden="1" x14ac:dyDescent="0.25">
      <c r="B302" s="80"/>
      <c r="C302" s="150"/>
      <c r="D302" s="74"/>
    </row>
    <row r="303" spans="2:4" hidden="1" x14ac:dyDescent="0.25">
      <c r="B303" s="80"/>
      <c r="C303" s="150"/>
      <c r="D303" s="74"/>
    </row>
    <row r="304" spans="2:4" hidden="1" x14ac:dyDescent="0.25">
      <c r="B304" s="80"/>
      <c r="C304" s="150"/>
      <c r="D304" s="74"/>
    </row>
    <row r="305" spans="2:4" hidden="1" x14ac:dyDescent="0.25">
      <c r="B305" s="80"/>
      <c r="C305" s="150"/>
      <c r="D305" s="74"/>
    </row>
    <row r="306" spans="2:4" hidden="1" x14ac:dyDescent="0.25">
      <c r="B306" s="80"/>
      <c r="C306" s="150"/>
      <c r="D306" s="74"/>
    </row>
    <row r="307" spans="2:4" hidden="1" x14ac:dyDescent="0.25">
      <c r="B307" s="80"/>
      <c r="C307" s="150"/>
      <c r="D307" s="74"/>
    </row>
    <row r="308" spans="2:4" hidden="1" x14ac:dyDescent="0.25">
      <c r="B308" s="80"/>
      <c r="C308" s="150"/>
      <c r="D308" s="74"/>
    </row>
    <row r="309" spans="2:4" hidden="1" x14ac:dyDescent="0.25">
      <c r="B309" s="58"/>
      <c r="D309" s="57"/>
    </row>
    <row r="310" spans="2:4" hidden="1" x14ac:dyDescent="0.25">
      <c r="B310" s="58"/>
      <c r="D310" s="57"/>
    </row>
    <row r="311" spans="2:4" hidden="1" x14ac:dyDescent="0.25">
      <c r="B311" s="58"/>
      <c r="D311" s="57"/>
    </row>
    <row r="312" spans="2:4" hidden="1" x14ac:dyDescent="0.25">
      <c r="B312" s="58"/>
      <c r="D312" s="57"/>
    </row>
    <row r="313" spans="2:4" hidden="1" x14ac:dyDescent="0.25">
      <c r="B313" s="58"/>
      <c r="D313" s="57"/>
    </row>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sheetData>
  <phoneticPr fontId="48" type="noConversion"/>
  <conditionalFormatting sqref="F2">
    <cfRule type="cellIs" dxfId="82" priority="8" stopIfTrue="1" operator="notEqual">
      <formula>0</formula>
    </cfRule>
    <cfRule type="cellIs" dxfId="81" priority="9" stopIfTrue="1" operator="equal">
      <formula>""</formula>
    </cfRule>
  </conditionalFormatting>
  <conditionalFormatting sqref="J4:CA4">
    <cfRule type="cellIs" dxfId="80" priority="10" operator="equal">
      <formula>"Post-Fcst"</formula>
    </cfRule>
    <cfRule type="cellIs" dxfId="79" priority="11" operator="equal">
      <formula>"Forecast"</formula>
    </cfRule>
    <cfRule type="cellIs" dxfId="78" priority="12" operator="equal">
      <formula>"Pre Fcst"</formula>
    </cfRule>
  </conditionalFormatting>
  <pageMargins left="0.70866141732283472" right="0.70866141732283472" top="0.74803149606299213" bottom="0.74803149606299213" header="0.31496062992125984" footer="0.31496062992125984"/>
  <pageSetup paperSize="9" scale="31"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DB89"/>
  <sheetViews>
    <sheetView zoomScaleNormal="100" workbookViewId="0">
      <pane xSplit="9" ySplit="6" topLeftCell="J7" activePane="bottomRight" state="frozen"/>
      <selection pane="topRight"/>
      <selection pane="bottomLeft"/>
      <selection pane="bottomRight"/>
    </sheetView>
  </sheetViews>
  <sheetFormatPr defaultColWidth="0" defaultRowHeight="13" x14ac:dyDescent="0.25"/>
  <cols>
    <col min="1" max="1" width="1.453125" style="69" customWidth="1"/>
    <col min="2" max="2" width="1.453125" style="80" customWidth="1"/>
    <col min="3" max="3" width="1.453125" style="144" customWidth="1"/>
    <col min="4" max="4" width="1.453125" style="74" customWidth="1"/>
    <col min="5" max="5" width="40.54296875" style="125" customWidth="1"/>
    <col min="6" max="6" width="12.54296875" style="8" customWidth="1"/>
    <col min="7" max="8" width="11.54296875" style="8" customWidth="1"/>
    <col min="9" max="9" width="2.54296875" style="8" customWidth="1"/>
    <col min="10" max="18" width="11.54296875" style="8" customWidth="1"/>
    <col min="19" max="78" width="11.54296875" style="8" hidden="1" customWidth="1"/>
    <col min="79" max="106" width="0" style="8" hidden="1" customWidth="1"/>
    <col min="107" max="16384" width="9.1796875" style="8" hidden="1"/>
  </cols>
  <sheetData>
    <row r="1" spans="1:78" s="156" customFormat="1" ht="25" x14ac:dyDescent="0.5">
      <c r="A1" s="152" t="str">
        <f ca="1" xml:space="preserve"> RIGHT(CELL("filename", $A$1), LEN(CELL("filename", $A$1)) - SEARCH("]", CELL("filename", $A$1)))</f>
        <v>Time</v>
      </c>
      <c r="C1" s="167"/>
      <c r="E1" s="166"/>
    </row>
    <row r="2" spans="1:78" s="37" customFormat="1" x14ac:dyDescent="0.25">
      <c r="A2" s="83"/>
      <c r="B2" s="84"/>
      <c r="C2" s="141"/>
      <c r="D2" s="85"/>
      <c r="E2" s="62"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row>
    <row r="3" spans="1:78" s="5" customFormat="1" x14ac:dyDescent="0.25">
      <c r="A3" s="86"/>
      <c r="B3" s="87"/>
      <c r="C3" s="142"/>
      <c r="D3" s="88"/>
      <c r="E3" s="62" t="str">
        <f>Time!E$59</f>
        <v>Pre Forecast vs Forecast</v>
      </c>
      <c r="F3" s="124"/>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row>
    <row r="4" spans="1:78" s="15" customFormat="1" x14ac:dyDescent="0.25">
      <c r="A4" s="89"/>
      <c r="B4" s="90"/>
      <c r="C4" s="158"/>
      <c r="D4" s="91"/>
      <c r="E4" s="124"/>
      <c r="F4" s="124"/>
      <c r="G4" s="274"/>
      <c r="H4" s="32"/>
      <c r="J4" s="15">
        <f>Time!J$86</f>
        <v>2018</v>
      </c>
      <c r="K4" s="15">
        <f>Time!K$86</f>
        <v>2019</v>
      </c>
      <c r="L4" s="15">
        <f>Time!L$86</f>
        <v>2020</v>
      </c>
      <c r="M4" s="15">
        <f>Time!M$86</f>
        <v>2021</v>
      </c>
      <c r="N4" s="15">
        <f>Time!N$86</f>
        <v>2022</v>
      </c>
      <c r="O4" s="15">
        <f>Time!O$86</f>
        <v>2023</v>
      </c>
      <c r="P4" s="15">
        <f>Time!P$86</f>
        <v>2024</v>
      </c>
      <c r="Q4" s="15">
        <f>Time!Q$86</f>
        <v>2025</v>
      </c>
      <c r="R4" s="15">
        <f>Time!R$86</f>
        <v>2026</v>
      </c>
    </row>
    <row r="5" spans="1:78" s="15" customFormat="1" x14ac:dyDescent="0.25">
      <c r="A5" s="89"/>
      <c r="B5" s="90"/>
      <c r="C5" s="158"/>
      <c r="D5" s="91"/>
      <c r="E5" s="124"/>
      <c r="F5" s="124"/>
      <c r="G5" s="274"/>
      <c r="H5" s="32"/>
    </row>
    <row r="6" spans="1:78" s="34" customFormat="1" x14ac:dyDescent="0.25">
      <c r="A6" s="92"/>
      <c r="B6" s="93"/>
      <c r="C6" s="143"/>
      <c r="D6" s="94"/>
      <c r="E6" s="6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row>
    <row r="7" spans="1:78" s="56" customFormat="1" x14ac:dyDescent="0.25">
      <c r="A7" s="89"/>
      <c r="B7" s="95"/>
      <c r="C7" s="144"/>
      <c r="D7" s="91"/>
      <c r="E7" s="125"/>
    </row>
    <row r="8" spans="1:78" s="60" customFormat="1" x14ac:dyDescent="0.25">
      <c r="A8" s="96" t="s">
        <v>95</v>
      </c>
      <c r="B8" s="95"/>
      <c r="C8" s="144"/>
      <c r="D8" s="97"/>
      <c r="E8" s="126"/>
    </row>
    <row r="9" spans="1:78" s="60" customFormat="1" x14ac:dyDescent="0.25">
      <c r="A9" s="96"/>
      <c r="B9" s="95"/>
      <c r="C9" s="144"/>
      <c r="D9" s="97"/>
      <c r="E9" s="126"/>
    </row>
    <row r="10" spans="1:78" s="98" customFormat="1" x14ac:dyDescent="0.25">
      <c r="A10" s="86"/>
      <c r="B10" s="87" t="s">
        <v>96</v>
      </c>
      <c r="C10" s="142"/>
      <c r="D10" s="88"/>
      <c r="E10" s="127"/>
      <c r="G10" s="49"/>
    </row>
    <row r="11" spans="1:78" s="54" customFormat="1" x14ac:dyDescent="0.25">
      <c r="A11" s="99"/>
      <c r="B11" s="100"/>
      <c r="C11" s="159"/>
      <c r="D11" s="101"/>
      <c r="E11" s="125" t="s">
        <v>97</v>
      </c>
      <c r="G11" s="54" t="s">
        <v>98</v>
      </c>
      <c r="I11" s="55"/>
      <c r="J11" s="54">
        <f t="shared" ref="J11:R11" si="0" xml:space="preserve"> I11 + 1</f>
        <v>1</v>
      </c>
      <c r="K11" s="54">
        <f t="shared" si="0"/>
        <v>2</v>
      </c>
      <c r="L11" s="54">
        <f t="shared" si="0"/>
        <v>3</v>
      </c>
      <c r="M11" s="54">
        <f t="shared" si="0"/>
        <v>4</v>
      </c>
      <c r="N11" s="54">
        <f t="shared" si="0"/>
        <v>5</v>
      </c>
      <c r="O11" s="54">
        <f t="shared" si="0"/>
        <v>6</v>
      </c>
      <c r="P11" s="54">
        <f t="shared" si="0"/>
        <v>7</v>
      </c>
      <c r="Q11" s="54">
        <f t="shared" si="0"/>
        <v>8</v>
      </c>
      <c r="R11" s="54">
        <f t="shared" si="0"/>
        <v>9</v>
      </c>
    </row>
    <row r="12" spans="1:78" s="60" customFormat="1" x14ac:dyDescent="0.25">
      <c r="A12" s="96"/>
      <c r="B12" s="95"/>
      <c r="C12" s="144"/>
      <c r="D12" s="97"/>
      <c r="E12" s="126" t="s">
        <v>99</v>
      </c>
      <c r="F12" s="60">
        <f xml:space="preserve"> MAX(J11:BZ11)</f>
        <v>9</v>
      </c>
      <c r="G12" s="60" t="s">
        <v>100</v>
      </c>
    </row>
    <row r="13" spans="1:78" s="60" customFormat="1" x14ac:dyDescent="0.25">
      <c r="A13" s="96"/>
      <c r="B13" s="95"/>
      <c r="C13" s="144"/>
      <c r="D13" s="97"/>
      <c r="E13" s="126"/>
    </row>
    <row r="14" spans="1:78" s="53" customFormat="1" x14ac:dyDescent="0.25">
      <c r="A14" s="102"/>
      <c r="B14" s="103"/>
      <c r="C14" s="146"/>
      <c r="D14" s="104"/>
      <c r="E14" s="126" t="str">
        <f t="shared" ref="E14:R14" si="1" xml:space="preserve"> E$11</f>
        <v>Model column counter</v>
      </c>
      <c r="F14" s="53">
        <f t="shared" si="1"/>
        <v>0</v>
      </c>
      <c r="G14" s="53" t="str">
        <f t="shared" si="1"/>
        <v>counter</v>
      </c>
      <c r="H14" s="53">
        <f t="shared" si="1"/>
        <v>0</v>
      </c>
      <c r="I14" s="53">
        <f t="shared" si="1"/>
        <v>0</v>
      </c>
      <c r="J14" s="53">
        <f t="shared" si="1"/>
        <v>1</v>
      </c>
      <c r="K14" s="53">
        <f t="shared" si="1"/>
        <v>2</v>
      </c>
      <c r="L14" s="53">
        <f t="shared" si="1"/>
        <v>3</v>
      </c>
      <c r="M14" s="53">
        <f t="shared" si="1"/>
        <v>4</v>
      </c>
      <c r="N14" s="53">
        <f t="shared" si="1"/>
        <v>5</v>
      </c>
      <c r="O14" s="53">
        <f t="shared" si="1"/>
        <v>6</v>
      </c>
      <c r="P14" s="53">
        <f t="shared" si="1"/>
        <v>7</v>
      </c>
      <c r="Q14" s="53">
        <f t="shared" si="1"/>
        <v>8</v>
      </c>
      <c r="R14" s="53">
        <f t="shared" si="1"/>
        <v>9</v>
      </c>
    </row>
    <row r="15" spans="1:78" s="56" customFormat="1" x14ac:dyDescent="0.25">
      <c r="A15" s="96"/>
      <c r="B15" s="90"/>
      <c r="C15" s="158"/>
      <c r="D15" s="91"/>
      <c r="E15" s="125" t="s">
        <v>101</v>
      </c>
      <c r="G15" s="56" t="s">
        <v>102</v>
      </c>
      <c r="H15" s="56">
        <f xml:space="preserve"> SUM(J15:BZ15)</f>
        <v>1</v>
      </c>
      <c r="J15" s="56">
        <f t="shared" ref="J15:R15" si="2" xml:space="preserve"> IF( J14 = 1, 1, 0)</f>
        <v>1</v>
      </c>
      <c r="K15" s="56">
        <f t="shared" si="2"/>
        <v>0</v>
      </c>
      <c r="L15" s="56">
        <f t="shared" si="2"/>
        <v>0</v>
      </c>
      <c r="M15" s="56">
        <f t="shared" si="2"/>
        <v>0</v>
      </c>
      <c r="N15" s="56">
        <f t="shared" si="2"/>
        <v>0</v>
      </c>
      <c r="O15" s="56">
        <f t="shared" si="2"/>
        <v>0</v>
      </c>
      <c r="P15" s="56">
        <f t="shared" si="2"/>
        <v>0</v>
      </c>
      <c r="Q15" s="56">
        <f t="shared" si="2"/>
        <v>0</v>
      </c>
      <c r="R15" s="56">
        <f t="shared" si="2"/>
        <v>0</v>
      </c>
    </row>
    <row r="16" spans="1:78" s="56" customFormat="1" x14ac:dyDescent="0.25">
      <c r="A16" s="96"/>
      <c r="B16" s="90"/>
      <c r="C16" s="158"/>
      <c r="D16" s="91"/>
      <c r="E16" s="125"/>
    </row>
    <row r="17" spans="1:78" s="48" customFormat="1" x14ac:dyDescent="0.25">
      <c r="A17" s="105"/>
      <c r="B17" s="106"/>
      <c r="C17" s="160"/>
      <c r="D17" s="107"/>
      <c r="E17" s="128" t="str">
        <f xml:space="preserve"> InpR!E$11</f>
        <v>First date of time ruler</v>
      </c>
      <c r="F17" s="48">
        <f xml:space="preserve"> InpR!F$11</f>
        <v>42826</v>
      </c>
      <c r="G17" s="48" t="str">
        <f xml:space="preserve"> InpR!G$11</f>
        <v>date</v>
      </c>
      <c r="I17" s="42"/>
    </row>
    <row r="18" spans="1:78" s="30" customFormat="1" x14ac:dyDescent="0.25">
      <c r="A18" s="105"/>
      <c r="B18" s="106"/>
      <c r="C18" s="160"/>
      <c r="D18" s="107"/>
      <c r="E18" s="125" t="s">
        <v>103</v>
      </c>
      <c r="F18" s="30">
        <f xml:space="preserve"> DATE(YEAR(F17), MONTH(F17), 1)</f>
        <v>42826</v>
      </c>
      <c r="G18" s="30" t="s">
        <v>104</v>
      </c>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row>
    <row r="19" spans="1:78" s="48" customFormat="1" x14ac:dyDescent="0.25">
      <c r="A19" s="105"/>
      <c r="B19" s="106"/>
      <c r="C19" s="160"/>
      <c r="D19" s="107"/>
      <c r="E19" s="128"/>
      <c r="I19" s="42"/>
    </row>
    <row r="20" spans="1:78" s="30" customFormat="1" x14ac:dyDescent="0.25">
      <c r="A20" s="105"/>
      <c r="B20" s="106"/>
      <c r="C20" s="160"/>
      <c r="D20" s="107"/>
      <c r="E20" s="125" t="str">
        <f xml:space="preserve"> E$18</f>
        <v>First model period BEG</v>
      </c>
      <c r="F20" s="30">
        <f xml:space="preserve"> F$18</f>
        <v>42826</v>
      </c>
      <c r="G20" s="30" t="str">
        <f xml:space="preserve"> G$18</f>
        <v>month</v>
      </c>
      <c r="I20" s="23"/>
    </row>
    <row r="21" spans="1:78" s="56" customFormat="1" x14ac:dyDescent="0.25">
      <c r="A21" s="96"/>
      <c r="B21" s="90"/>
      <c r="C21" s="158"/>
      <c r="D21" s="91"/>
      <c r="E21" s="125" t="str">
        <f t="shared" ref="E21:R21" si="3" xml:space="preserve"> E$15</f>
        <v>First model column flag</v>
      </c>
      <c r="F21" s="56">
        <f t="shared" si="3"/>
        <v>0</v>
      </c>
      <c r="G21" s="56" t="str">
        <f t="shared" si="3"/>
        <v>flag</v>
      </c>
      <c r="H21" s="56">
        <f t="shared" si="3"/>
        <v>1</v>
      </c>
      <c r="I21" s="56">
        <f t="shared" si="3"/>
        <v>0</v>
      </c>
      <c r="J21" s="56">
        <f t="shared" si="3"/>
        <v>1</v>
      </c>
      <c r="K21" s="56">
        <f t="shared" si="3"/>
        <v>0</v>
      </c>
      <c r="L21" s="56">
        <f t="shared" si="3"/>
        <v>0</v>
      </c>
      <c r="M21" s="56">
        <f t="shared" si="3"/>
        <v>0</v>
      </c>
      <c r="N21" s="56">
        <f t="shared" si="3"/>
        <v>0</v>
      </c>
      <c r="O21" s="56">
        <f t="shared" si="3"/>
        <v>0</v>
      </c>
      <c r="P21" s="56">
        <f t="shared" si="3"/>
        <v>0</v>
      </c>
      <c r="Q21" s="56">
        <f t="shared" si="3"/>
        <v>0</v>
      </c>
      <c r="R21" s="56">
        <f t="shared" si="3"/>
        <v>0</v>
      </c>
    </row>
    <row r="22" spans="1:78" s="22" customFormat="1" x14ac:dyDescent="0.25">
      <c r="A22" s="108"/>
      <c r="B22" s="109"/>
      <c r="C22" s="161"/>
      <c r="D22" s="110"/>
      <c r="E22" s="125" t="s">
        <v>105</v>
      </c>
      <c r="G22" s="22" t="s">
        <v>76</v>
      </c>
      <c r="J22" s="22">
        <f t="shared" ref="J22:R22" si="4" xml:space="preserve"> IF( J21 = 1, $F20, I23 + 1)</f>
        <v>42826</v>
      </c>
      <c r="K22" s="22">
        <f t="shared" si="4"/>
        <v>43191</v>
      </c>
      <c r="L22" s="22">
        <f t="shared" si="4"/>
        <v>43556</v>
      </c>
      <c r="M22" s="22">
        <f t="shared" si="4"/>
        <v>43922</v>
      </c>
      <c r="N22" s="22">
        <f t="shared" si="4"/>
        <v>44287</v>
      </c>
      <c r="O22" s="22">
        <f t="shared" si="4"/>
        <v>44652</v>
      </c>
      <c r="P22" s="22">
        <f t="shared" si="4"/>
        <v>45017</v>
      </c>
      <c r="Q22" s="22">
        <f t="shared" si="4"/>
        <v>45383</v>
      </c>
      <c r="R22" s="22">
        <f t="shared" si="4"/>
        <v>45748</v>
      </c>
    </row>
    <row r="23" spans="1:78" s="51" customFormat="1" x14ac:dyDescent="0.25">
      <c r="A23" s="108"/>
      <c r="B23" s="111"/>
      <c r="C23" s="162"/>
      <c r="D23" s="112"/>
      <c r="E23" s="129" t="s">
        <v>106</v>
      </c>
      <c r="F23" s="46"/>
      <c r="G23" s="51" t="s">
        <v>76</v>
      </c>
      <c r="I23" s="52"/>
      <c r="J23" s="51">
        <f t="shared" ref="J23:R23" si="5" xml:space="preserve"> DATE(YEAR(J22), MONTH(J22) + 12, DAY(1) - 1)</f>
        <v>43190</v>
      </c>
      <c r="K23" s="51">
        <f t="shared" si="5"/>
        <v>43555</v>
      </c>
      <c r="L23" s="51">
        <f t="shared" si="5"/>
        <v>43921</v>
      </c>
      <c r="M23" s="51">
        <f t="shared" si="5"/>
        <v>44286</v>
      </c>
      <c r="N23" s="51">
        <f t="shared" si="5"/>
        <v>44651</v>
      </c>
      <c r="O23" s="51">
        <f t="shared" si="5"/>
        <v>45016</v>
      </c>
      <c r="P23" s="51">
        <f t="shared" si="5"/>
        <v>45382</v>
      </c>
      <c r="Q23" s="51">
        <f t="shared" si="5"/>
        <v>45747</v>
      </c>
      <c r="R23" s="51">
        <f t="shared" si="5"/>
        <v>46112</v>
      </c>
    </row>
    <row r="24" spans="1:78" s="41" customFormat="1" x14ac:dyDescent="0.25">
      <c r="A24" s="108"/>
      <c r="B24" s="111"/>
      <c r="C24" s="162"/>
      <c r="D24" s="112"/>
      <c r="E24" s="126"/>
    </row>
    <row r="25" spans="1:78" s="41" customFormat="1" x14ac:dyDescent="0.25">
      <c r="A25" s="108"/>
      <c r="B25" s="111"/>
      <c r="C25" s="162"/>
      <c r="D25" s="112"/>
      <c r="E25" s="126" t="str">
        <f t="shared" ref="E25:R25" si="6" xml:space="preserve"> E$23</f>
        <v>Model Period END</v>
      </c>
      <c r="F25" s="41">
        <f t="shared" si="6"/>
        <v>0</v>
      </c>
      <c r="G25" s="41" t="str">
        <f t="shared" si="6"/>
        <v>date</v>
      </c>
      <c r="H25" s="41">
        <f t="shared" si="6"/>
        <v>0</v>
      </c>
      <c r="I25" s="41">
        <f t="shared" si="6"/>
        <v>0</v>
      </c>
      <c r="J25" s="41">
        <f t="shared" si="6"/>
        <v>43190</v>
      </c>
      <c r="K25" s="41">
        <f t="shared" si="6"/>
        <v>43555</v>
      </c>
      <c r="L25" s="41">
        <f t="shared" si="6"/>
        <v>43921</v>
      </c>
      <c r="M25" s="41">
        <f t="shared" si="6"/>
        <v>44286</v>
      </c>
      <c r="N25" s="41">
        <f t="shared" si="6"/>
        <v>44651</v>
      </c>
      <c r="O25" s="41">
        <f t="shared" si="6"/>
        <v>45016</v>
      </c>
      <c r="P25" s="41">
        <f t="shared" si="6"/>
        <v>45382</v>
      </c>
      <c r="Q25" s="41">
        <f t="shared" si="6"/>
        <v>45747</v>
      </c>
      <c r="R25" s="41">
        <f t="shared" si="6"/>
        <v>46112</v>
      </c>
    </row>
    <row r="26" spans="1:78" s="41" customFormat="1" x14ac:dyDescent="0.25">
      <c r="A26" s="108"/>
      <c r="B26" s="111"/>
      <c r="C26" s="162"/>
      <c r="D26" s="112" t="s">
        <v>107</v>
      </c>
      <c r="E26" s="126" t="str">
        <f t="shared" ref="E26:R26" si="7" xml:space="preserve"> E$22</f>
        <v>Model Period BEG</v>
      </c>
      <c r="F26" s="41">
        <f t="shared" si="7"/>
        <v>0</v>
      </c>
      <c r="G26" s="41" t="str">
        <f t="shared" si="7"/>
        <v>date</v>
      </c>
      <c r="H26" s="41">
        <f t="shared" si="7"/>
        <v>0</v>
      </c>
      <c r="I26" s="41">
        <f t="shared" si="7"/>
        <v>0</v>
      </c>
      <c r="J26" s="41">
        <f t="shared" si="7"/>
        <v>42826</v>
      </c>
      <c r="K26" s="41">
        <f t="shared" si="7"/>
        <v>43191</v>
      </c>
      <c r="L26" s="41">
        <f t="shared" si="7"/>
        <v>43556</v>
      </c>
      <c r="M26" s="41">
        <f t="shared" si="7"/>
        <v>43922</v>
      </c>
      <c r="N26" s="41">
        <f t="shared" si="7"/>
        <v>44287</v>
      </c>
      <c r="O26" s="41">
        <f t="shared" si="7"/>
        <v>44652</v>
      </c>
      <c r="P26" s="41">
        <f t="shared" si="7"/>
        <v>45017</v>
      </c>
      <c r="Q26" s="41">
        <f t="shared" si="7"/>
        <v>45383</v>
      </c>
      <c r="R26" s="41">
        <f t="shared" si="7"/>
        <v>45748</v>
      </c>
    </row>
    <row r="27" spans="1:78" s="50" customFormat="1" x14ac:dyDescent="0.25">
      <c r="A27" s="113"/>
      <c r="B27" s="114"/>
      <c r="C27" s="163"/>
      <c r="D27" s="115"/>
      <c r="E27" s="126" t="s">
        <v>108</v>
      </c>
      <c r="G27" s="50" t="s">
        <v>109</v>
      </c>
      <c r="H27" s="26">
        <f xml:space="preserve"> SUM(J27:BZ27)</f>
        <v>3287</v>
      </c>
      <c r="J27" s="26">
        <f t="shared" ref="J27:R27" si="8" xml:space="preserve"> J25 - J26 + 1</f>
        <v>365</v>
      </c>
      <c r="K27" s="26">
        <f t="shared" si="8"/>
        <v>365</v>
      </c>
      <c r="L27" s="26">
        <f t="shared" si="8"/>
        <v>366</v>
      </c>
      <c r="M27" s="26">
        <f t="shared" si="8"/>
        <v>365</v>
      </c>
      <c r="N27" s="26">
        <f t="shared" si="8"/>
        <v>365</v>
      </c>
      <c r="O27" s="26">
        <f t="shared" si="8"/>
        <v>365</v>
      </c>
      <c r="P27" s="26">
        <f t="shared" si="8"/>
        <v>366</v>
      </c>
      <c r="Q27" s="26">
        <f t="shared" si="8"/>
        <v>365</v>
      </c>
      <c r="R27" s="26">
        <f t="shared" si="8"/>
        <v>365</v>
      </c>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row>
    <row r="28" spans="1:78" s="98" customFormat="1" x14ac:dyDescent="0.25">
      <c r="A28" s="116"/>
      <c r="B28" s="87"/>
      <c r="C28" s="142"/>
      <c r="D28" s="88"/>
      <c r="E28" s="127"/>
      <c r="G28" s="49"/>
    </row>
    <row r="29" spans="1:78" s="98" customFormat="1" x14ac:dyDescent="0.25">
      <c r="A29" s="116"/>
      <c r="B29" s="87"/>
      <c r="C29" s="142"/>
      <c r="D29" s="88"/>
      <c r="E29" s="127"/>
      <c r="G29" s="49"/>
    </row>
    <row r="30" spans="1:78" s="41" customFormat="1" x14ac:dyDescent="0.25">
      <c r="A30" s="108" t="s">
        <v>110</v>
      </c>
      <c r="B30" s="111"/>
      <c r="C30" s="162"/>
      <c r="D30" s="112"/>
      <c r="E30" s="126"/>
    </row>
    <row r="31" spans="1:78" s="41" customFormat="1" x14ac:dyDescent="0.25">
      <c r="A31" s="108"/>
      <c r="B31" s="111"/>
      <c r="C31" s="162"/>
      <c r="D31" s="112"/>
      <c r="E31" s="126"/>
    </row>
    <row r="32" spans="1:78" s="42" customFormat="1" x14ac:dyDescent="0.25">
      <c r="A32" s="105"/>
      <c r="B32" s="117"/>
      <c r="C32" s="164"/>
      <c r="D32" s="118"/>
      <c r="E32" s="130" t="str">
        <f xml:space="preserve"> InpR!E$13</f>
        <v>Last Pre Forecast Date</v>
      </c>
      <c r="F32" s="42">
        <f xml:space="preserve"> InpR!F$13</f>
        <v>43921</v>
      </c>
      <c r="G32" s="42" t="str">
        <f xml:space="preserve"> InpR!G$13</f>
        <v>date</v>
      </c>
    </row>
    <row r="33" spans="1:18" s="119" customFormat="1" x14ac:dyDescent="0.25">
      <c r="A33" s="108"/>
      <c r="B33" s="109"/>
      <c r="C33" s="161"/>
      <c r="D33" s="110"/>
      <c r="E33" s="131" t="str">
        <f t="shared" ref="E33:R33" si="9" xml:space="preserve"> E$23</f>
        <v>Model Period END</v>
      </c>
      <c r="F33" s="119">
        <f t="shared" si="9"/>
        <v>0</v>
      </c>
      <c r="G33" s="119" t="str">
        <f t="shared" si="9"/>
        <v>date</v>
      </c>
      <c r="H33" s="119">
        <f t="shared" si="9"/>
        <v>0</v>
      </c>
      <c r="I33" s="119">
        <f t="shared" si="9"/>
        <v>0</v>
      </c>
      <c r="J33" s="119">
        <f t="shared" si="9"/>
        <v>43190</v>
      </c>
      <c r="K33" s="119">
        <f t="shared" si="9"/>
        <v>43555</v>
      </c>
      <c r="L33" s="119">
        <f t="shared" si="9"/>
        <v>43921</v>
      </c>
      <c r="M33" s="119">
        <f t="shared" si="9"/>
        <v>44286</v>
      </c>
      <c r="N33" s="119">
        <f t="shared" si="9"/>
        <v>44651</v>
      </c>
      <c r="O33" s="119">
        <f t="shared" si="9"/>
        <v>45016</v>
      </c>
      <c r="P33" s="119">
        <f t="shared" si="9"/>
        <v>45382</v>
      </c>
      <c r="Q33" s="119">
        <f t="shared" si="9"/>
        <v>45747</v>
      </c>
      <c r="R33" s="119">
        <f t="shared" si="9"/>
        <v>46112</v>
      </c>
    </row>
    <row r="34" spans="1:18" s="56" customFormat="1" x14ac:dyDescent="0.25">
      <c r="A34" s="96"/>
      <c r="B34" s="90"/>
      <c r="C34" s="158"/>
      <c r="D34" s="91"/>
      <c r="E34" s="125" t="s">
        <v>111</v>
      </c>
      <c r="G34" s="56" t="s">
        <v>102</v>
      </c>
      <c r="H34" s="56">
        <f xml:space="preserve"> SUM(J34:BZ34)</f>
        <v>1</v>
      </c>
      <c r="J34" s="56">
        <f t="shared" ref="J34:R34" si="10" xml:space="preserve"> IF(J33 = $F32, 1, 0)</f>
        <v>0</v>
      </c>
      <c r="K34" s="56">
        <f t="shared" si="10"/>
        <v>0</v>
      </c>
      <c r="L34" s="56">
        <f t="shared" si="10"/>
        <v>1</v>
      </c>
      <c r="M34" s="56">
        <f t="shared" si="10"/>
        <v>0</v>
      </c>
      <c r="N34" s="56">
        <f t="shared" si="10"/>
        <v>0</v>
      </c>
      <c r="O34" s="56">
        <f t="shared" si="10"/>
        <v>0</v>
      </c>
      <c r="P34" s="56">
        <f t="shared" si="10"/>
        <v>0</v>
      </c>
      <c r="Q34" s="56">
        <f t="shared" si="10"/>
        <v>0</v>
      </c>
      <c r="R34" s="56">
        <f t="shared" si="10"/>
        <v>0</v>
      </c>
    </row>
    <row r="35" spans="1:18" s="56" customFormat="1" x14ac:dyDescent="0.25">
      <c r="A35" s="96"/>
      <c r="B35" s="90"/>
      <c r="C35" s="158"/>
      <c r="D35" s="91"/>
      <c r="E35" s="125" t="s">
        <v>112</v>
      </c>
      <c r="G35" s="56" t="s">
        <v>102</v>
      </c>
      <c r="H35" s="56">
        <f xml:space="preserve"> SUM(J35:BZ35)</f>
        <v>3</v>
      </c>
      <c r="J35" s="56">
        <f t="shared" ref="J35:R35" si="11" xml:space="preserve"> IF($F32 &gt;= J33, 1, 0)</f>
        <v>1</v>
      </c>
      <c r="K35" s="56">
        <f t="shared" si="11"/>
        <v>1</v>
      </c>
      <c r="L35" s="56">
        <f t="shared" si="11"/>
        <v>1</v>
      </c>
      <c r="M35" s="56">
        <f t="shared" si="11"/>
        <v>0</v>
      </c>
      <c r="N35" s="56">
        <f t="shared" si="11"/>
        <v>0</v>
      </c>
      <c r="O35" s="56">
        <f t="shared" si="11"/>
        <v>0</v>
      </c>
      <c r="P35" s="56">
        <f t="shared" si="11"/>
        <v>0</v>
      </c>
      <c r="Q35" s="56">
        <f t="shared" si="11"/>
        <v>0</v>
      </c>
      <c r="R35" s="56">
        <f t="shared" si="11"/>
        <v>0</v>
      </c>
    </row>
    <row r="36" spans="1:18" s="60" customFormat="1" x14ac:dyDescent="0.25">
      <c r="A36" s="96"/>
      <c r="B36" s="95"/>
      <c r="C36" s="144"/>
      <c r="D36" s="97"/>
      <c r="E36" s="126" t="s">
        <v>113</v>
      </c>
      <c r="F36" s="26">
        <f xml:space="preserve"> SUM(J35:BZ35)</f>
        <v>3</v>
      </c>
      <c r="G36" s="60" t="s">
        <v>114</v>
      </c>
    </row>
    <row r="37" spans="1:18" s="60" customFormat="1" x14ac:dyDescent="0.25">
      <c r="A37" s="96"/>
      <c r="B37" s="95"/>
      <c r="C37" s="144"/>
      <c r="D37" s="97"/>
      <c r="E37" s="126"/>
    </row>
    <row r="38" spans="1:18" s="48" customFormat="1" x14ac:dyDescent="0.25">
      <c r="A38" s="120"/>
      <c r="B38" s="106"/>
      <c r="C38" s="160"/>
      <c r="D38" s="107"/>
      <c r="E38" s="128" t="str">
        <f xml:space="preserve"> InpR!E$15</f>
        <v>Acquisition date (midnight)</v>
      </c>
      <c r="F38" s="48">
        <f xml:space="preserve"> InpR!F$15</f>
        <v>43921</v>
      </c>
      <c r="G38" s="48" t="str">
        <f xml:space="preserve"> InpR!G$15</f>
        <v>date</v>
      </c>
    </row>
    <row r="39" spans="1:18" s="119" customFormat="1" x14ac:dyDescent="0.25">
      <c r="A39" s="108"/>
      <c r="B39" s="109"/>
      <c r="C39" s="161"/>
      <c r="D39" s="110"/>
      <c r="E39" s="131" t="str">
        <f t="shared" ref="E39:R39" si="12" xml:space="preserve"> E$23</f>
        <v>Model Period END</v>
      </c>
      <c r="F39" s="119">
        <f t="shared" si="12"/>
        <v>0</v>
      </c>
      <c r="G39" s="119" t="str">
        <f t="shared" si="12"/>
        <v>date</v>
      </c>
      <c r="H39" s="119">
        <f t="shared" si="12"/>
        <v>0</v>
      </c>
      <c r="I39" s="119">
        <f t="shared" si="12"/>
        <v>0</v>
      </c>
      <c r="J39" s="119">
        <f t="shared" si="12"/>
        <v>43190</v>
      </c>
      <c r="K39" s="119">
        <f t="shared" si="12"/>
        <v>43555</v>
      </c>
      <c r="L39" s="119">
        <f t="shared" si="12"/>
        <v>43921</v>
      </c>
      <c r="M39" s="119">
        <f t="shared" si="12"/>
        <v>44286</v>
      </c>
      <c r="N39" s="119">
        <f t="shared" si="12"/>
        <v>44651</v>
      </c>
      <c r="O39" s="119">
        <f t="shared" si="12"/>
        <v>45016</v>
      </c>
      <c r="P39" s="119">
        <f t="shared" si="12"/>
        <v>45382</v>
      </c>
      <c r="Q39" s="119">
        <f t="shared" si="12"/>
        <v>45747</v>
      </c>
      <c r="R39" s="119">
        <f t="shared" si="12"/>
        <v>46112</v>
      </c>
    </row>
    <row r="40" spans="1:18" s="47" customFormat="1" x14ac:dyDescent="0.25">
      <c r="A40" s="96"/>
      <c r="B40" s="90"/>
      <c r="C40" s="158"/>
      <c r="D40" s="91"/>
      <c r="E40" s="132" t="s">
        <v>115</v>
      </c>
      <c r="G40" s="47" t="s">
        <v>102</v>
      </c>
      <c r="H40" s="47">
        <f xml:space="preserve"> SUM(J40:BZ40)</f>
        <v>1</v>
      </c>
      <c r="J40" s="47">
        <f t="shared" ref="J40:R40" si="13" xml:space="preserve"> IF(J39 = $F38, 1, 0)</f>
        <v>0</v>
      </c>
      <c r="K40" s="47">
        <f t="shared" si="13"/>
        <v>0</v>
      </c>
      <c r="L40" s="47">
        <f t="shared" si="13"/>
        <v>1</v>
      </c>
      <c r="M40" s="47">
        <f t="shared" si="13"/>
        <v>0</v>
      </c>
      <c r="N40" s="47">
        <f t="shared" si="13"/>
        <v>0</v>
      </c>
      <c r="O40" s="47">
        <f t="shared" si="13"/>
        <v>0</v>
      </c>
      <c r="P40" s="47">
        <f t="shared" si="13"/>
        <v>0</v>
      </c>
      <c r="Q40" s="47">
        <f t="shared" si="13"/>
        <v>0</v>
      </c>
      <c r="R40" s="47">
        <f t="shared" si="13"/>
        <v>0</v>
      </c>
    </row>
    <row r="41" spans="1:18" s="41" customFormat="1" x14ac:dyDescent="0.25">
      <c r="A41" s="108"/>
      <c r="B41" s="111"/>
      <c r="C41" s="162"/>
      <c r="D41" s="112"/>
      <c r="E41" s="126"/>
    </row>
    <row r="42" spans="1:18" s="41" customFormat="1" x14ac:dyDescent="0.25">
      <c r="A42" s="108"/>
      <c r="B42" s="111"/>
      <c r="C42" s="162"/>
      <c r="D42" s="112"/>
      <c r="E42" s="126"/>
    </row>
    <row r="43" spans="1:18" s="60" customFormat="1" x14ac:dyDescent="0.25">
      <c r="A43" s="96" t="s">
        <v>116</v>
      </c>
      <c r="B43" s="95"/>
      <c r="C43" s="144"/>
      <c r="D43" s="97"/>
      <c r="E43" s="126"/>
    </row>
    <row r="44" spans="1:18" s="60" customFormat="1" x14ac:dyDescent="0.25">
      <c r="A44" s="96"/>
      <c r="B44" s="95"/>
      <c r="C44" s="144"/>
      <c r="D44" s="97"/>
      <c r="E44" s="126"/>
    </row>
    <row r="45" spans="1:18" s="56" customFormat="1" x14ac:dyDescent="0.25">
      <c r="A45" s="89"/>
      <c r="B45" s="95"/>
      <c r="C45" s="144"/>
      <c r="D45" s="91"/>
      <c r="E45" s="125" t="str">
        <f t="shared" ref="E45:R45" si="14" xml:space="preserve"> E$34</f>
        <v>Last Pre Forecast Flag</v>
      </c>
      <c r="F45" s="56">
        <f t="shared" si="14"/>
        <v>0</v>
      </c>
      <c r="G45" s="56" t="str">
        <f t="shared" si="14"/>
        <v>flag</v>
      </c>
      <c r="H45" s="56">
        <f t="shared" si="14"/>
        <v>1</v>
      </c>
      <c r="I45" s="56">
        <f t="shared" si="14"/>
        <v>0</v>
      </c>
      <c r="J45" s="56">
        <f t="shared" si="14"/>
        <v>0</v>
      </c>
      <c r="K45" s="56">
        <f t="shared" si="14"/>
        <v>0</v>
      </c>
      <c r="L45" s="56">
        <f t="shared" si="14"/>
        <v>1</v>
      </c>
      <c r="M45" s="56">
        <f t="shared" si="14"/>
        <v>0</v>
      </c>
      <c r="N45" s="56">
        <f t="shared" si="14"/>
        <v>0</v>
      </c>
      <c r="O45" s="56">
        <f t="shared" si="14"/>
        <v>0</v>
      </c>
      <c r="P45" s="56">
        <f t="shared" si="14"/>
        <v>0</v>
      </c>
      <c r="Q45" s="56">
        <f t="shared" si="14"/>
        <v>0</v>
      </c>
      <c r="R45" s="56">
        <f t="shared" si="14"/>
        <v>0</v>
      </c>
    </row>
    <row r="46" spans="1:18" s="56" customFormat="1" x14ac:dyDescent="0.25">
      <c r="A46" s="89"/>
      <c r="B46" s="95"/>
      <c r="C46" s="144"/>
      <c r="D46" s="91"/>
      <c r="E46" s="125" t="s">
        <v>117</v>
      </c>
      <c r="G46" s="56" t="s">
        <v>102</v>
      </c>
      <c r="H46" s="56">
        <f xml:space="preserve"> SUM(J46:BZ46)</f>
        <v>1</v>
      </c>
      <c r="J46" s="56">
        <f t="shared" ref="J46:R46" si="15" xml:space="preserve"> I45</f>
        <v>0</v>
      </c>
      <c r="K46" s="56">
        <f t="shared" si="15"/>
        <v>0</v>
      </c>
      <c r="L46" s="56">
        <f t="shared" si="15"/>
        <v>0</v>
      </c>
      <c r="M46" s="56">
        <f t="shared" si="15"/>
        <v>1</v>
      </c>
      <c r="N46" s="56">
        <f t="shared" si="15"/>
        <v>0</v>
      </c>
      <c r="O46" s="56">
        <f t="shared" si="15"/>
        <v>0</v>
      </c>
      <c r="P46" s="56">
        <f t="shared" si="15"/>
        <v>0</v>
      </c>
      <c r="Q46" s="56">
        <f t="shared" si="15"/>
        <v>0</v>
      </c>
      <c r="R46" s="56">
        <f t="shared" si="15"/>
        <v>0</v>
      </c>
    </row>
    <row r="47" spans="1:18" s="56" customFormat="1" x14ac:dyDescent="0.25">
      <c r="A47" s="89"/>
      <c r="B47" s="95"/>
      <c r="C47" s="144"/>
      <c r="D47" s="91"/>
      <c r="E47" s="125"/>
    </row>
    <row r="48" spans="1:18" s="42" customFormat="1" x14ac:dyDescent="0.25">
      <c r="A48" s="105"/>
      <c r="B48" s="117"/>
      <c r="C48" s="164"/>
      <c r="D48" s="118"/>
      <c r="E48" s="130" t="str">
        <f>InpR!E$17</f>
        <v>Last forecast date</v>
      </c>
      <c r="F48" s="42">
        <f>InpR!F$17</f>
        <v>45747</v>
      </c>
      <c r="G48" s="42" t="str">
        <f>InpR!G$17</f>
        <v>date</v>
      </c>
    </row>
    <row r="49" spans="1:78" s="56" customFormat="1" x14ac:dyDescent="0.25">
      <c r="A49" s="89"/>
      <c r="B49" s="95"/>
      <c r="C49" s="144"/>
      <c r="D49" s="91"/>
      <c r="E49" s="133" t="str">
        <f t="shared" ref="E49:R49" si="16" xml:space="preserve"> E$23</f>
        <v>Model Period END</v>
      </c>
      <c r="F49" s="121">
        <f t="shared" si="16"/>
        <v>0</v>
      </c>
      <c r="G49" s="121" t="str">
        <f t="shared" si="16"/>
        <v>date</v>
      </c>
      <c r="H49" s="121">
        <f t="shared" si="16"/>
        <v>0</v>
      </c>
      <c r="I49" s="122">
        <f t="shared" si="16"/>
        <v>0</v>
      </c>
      <c r="J49" s="121">
        <f t="shared" si="16"/>
        <v>43190</v>
      </c>
      <c r="K49" s="121">
        <f t="shared" si="16"/>
        <v>43555</v>
      </c>
      <c r="L49" s="121">
        <f t="shared" si="16"/>
        <v>43921</v>
      </c>
      <c r="M49" s="121">
        <f t="shared" si="16"/>
        <v>44286</v>
      </c>
      <c r="N49" s="121">
        <f t="shared" si="16"/>
        <v>44651</v>
      </c>
      <c r="O49" s="121">
        <f t="shared" si="16"/>
        <v>45016</v>
      </c>
      <c r="P49" s="121">
        <f t="shared" si="16"/>
        <v>45382</v>
      </c>
      <c r="Q49" s="121">
        <f t="shared" si="16"/>
        <v>45747</v>
      </c>
      <c r="R49" s="121">
        <f t="shared" si="16"/>
        <v>46112</v>
      </c>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row>
    <row r="50" spans="1:78" s="56" customFormat="1" x14ac:dyDescent="0.25">
      <c r="A50" s="89"/>
      <c r="B50" s="95"/>
      <c r="C50" s="144"/>
      <c r="D50" s="91"/>
      <c r="E50" s="126" t="s">
        <v>118</v>
      </c>
      <c r="G50" s="56" t="s">
        <v>102</v>
      </c>
      <c r="H50" s="56">
        <f xml:space="preserve"> SUM(J50:BZ50)</f>
        <v>1</v>
      </c>
      <c r="J50" s="56">
        <f t="shared" ref="J50:R50" si="17" xml:space="preserve"> IF(AND($F48 &gt; I49, $F48 &lt;= J49), 1, 0)</f>
        <v>0</v>
      </c>
      <c r="K50" s="56">
        <f t="shared" si="17"/>
        <v>0</v>
      </c>
      <c r="L50" s="56">
        <f t="shared" si="17"/>
        <v>0</v>
      </c>
      <c r="M50" s="56">
        <f t="shared" si="17"/>
        <v>0</v>
      </c>
      <c r="N50" s="56">
        <f t="shared" si="17"/>
        <v>0</v>
      </c>
      <c r="O50" s="56">
        <f t="shared" si="17"/>
        <v>0</v>
      </c>
      <c r="P50" s="56">
        <f t="shared" si="17"/>
        <v>0</v>
      </c>
      <c r="Q50" s="56">
        <f t="shared" si="17"/>
        <v>1</v>
      </c>
      <c r="R50" s="56">
        <f t="shared" si="17"/>
        <v>0</v>
      </c>
    </row>
    <row r="51" spans="1:78" s="56" customFormat="1" x14ac:dyDescent="0.25">
      <c r="A51" s="89"/>
      <c r="B51" s="95"/>
      <c r="C51" s="144"/>
      <c r="D51" s="91"/>
      <c r="E51" s="126"/>
    </row>
    <row r="52" spans="1:78" s="56" customFormat="1" x14ac:dyDescent="0.25">
      <c r="A52" s="89"/>
      <c r="B52" s="95"/>
      <c r="C52" s="144"/>
      <c r="D52" s="91"/>
      <c r="E52" s="126" t="str">
        <f t="shared" ref="E52:R52" si="18" xml:space="preserve"> E$46</f>
        <v>1st Forecast Period Flag</v>
      </c>
      <c r="F52" s="60">
        <f t="shared" si="18"/>
        <v>0</v>
      </c>
      <c r="G52" s="60" t="str">
        <f t="shared" si="18"/>
        <v>flag</v>
      </c>
      <c r="H52" s="60">
        <f t="shared" si="18"/>
        <v>1</v>
      </c>
      <c r="I52" s="60">
        <f t="shared" si="18"/>
        <v>0</v>
      </c>
      <c r="J52" s="60">
        <f t="shared" si="18"/>
        <v>0</v>
      </c>
      <c r="K52" s="60">
        <f t="shared" si="18"/>
        <v>0</v>
      </c>
      <c r="L52" s="60">
        <f t="shared" si="18"/>
        <v>0</v>
      </c>
      <c r="M52" s="60">
        <f t="shared" si="18"/>
        <v>1</v>
      </c>
      <c r="N52" s="60">
        <f t="shared" si="18"/>
        <v>0</v>
      </c>
      <c r="O52" s="60">
        <f t="shared" si="18"/>
        <v>0</v>
      </c>
      <c r="P52" s="60">
        <f t="shared" si="18"/>
        <v>0</v>
      </c>
      <c r="Q52" s="60">
        <f t="shared" si="18"/>
        <v>0</v>
      </c>
      <c r="R52" s="60">
        <f t="shared" si="18"/>
        <v>0</v>
      </c>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row>
    <row r="53" spans="1:78" s="56" customFormat="1" x14ac:dyDescent="0.25">
      <c r="A53" s="89"/>
      <c r="B53" s="95"/>
      <c r="C53" s="144"/>
      <c r="D53" s="91"/>
      <c r="E53" s="126" t="str">
        <f t="shared" ref="E53:R53" si="19" xml:space="preserve"> E$50</f>
        <v>Last Forecast Period Flag</v>
      </c>
      <c r="F53" s="60">
        <f t="shared" si="19"/>
        <v>0</v>
      </c>
      <c r="G53" s="60" t="str">
        <f t="shared" si="19"/>
        <v>flag</v>
      </c>
      <c r="H53" s="60">
        <f t="shared" si="19"/>
        <v>1</v>
      </c>
      <c r="I53" s="17">
        <f t="shared" si="19"/>
        <v>0</v>
      </c>
      <c r="J53" s="60">
        <f t="shared" si="19"/>
        <v>0</v>
      </c>
      <c r="K53" s="60">
        <f t="shared" si="19"/>
        <v>0</v>
      </c>
      <c r="L53" s="60">
        <f t="shared" si="19"/>
        <v>0</v>
      </c>
      <c r="M53" s="60">
        <f t="shared" si="19"/>
        <v>0</v>
      </c>
      <c r="N53" s="60">
        <f t="shared" si="19"/>
        <v>0</v>
      </c>
      <c r="O53" s="60">
        <f t="shared" si="19"/>
        <v>0</v>
      </c>
      <c r="P53" s="60">
        <f t="shared" si="19"/>
        <v>0</v>
      </c>
      <c r="Q53" s="60">
        <f t="shared" si="19"/>
        <v>1</v>
      </c>
      <c r="R53" s="60">
        <f t="shared" si="19"/>
        <v>0</v>
      </c>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row>
    <row r="54" spans="1:78" s="44" customFormat="1" x14ac:dyDescent="0.25">
      <c r="A54" s="89"/>
      <c r="B54" s="95"/>
      <c r="C54" s="144"/>
      <c r="D54" s="91"/>
      <c r="E54" s="129" t="s">
        <v>119</v>
      </c>
      <c r="G54" s="44" t="s">
        <v>102</v>
      </c>
      <c r="H54" s="44">
        <f xml:space="preserve"> SUM(J54:BZ54)</f>
        <v>5</v>
      </c>
      <c r="I54" s="45"/>
      <c r="J54" s="44">
        <f t="shared" ref="J54:R54" si="20" xml:space="preserve"> J52 - I53 + I54</f>
        <v>0</v>
      </c>
      <c r="K54" s="44">
        <f t="shared" si="20"/>
        <v>0</v>
      </c>
      <c r="L54" s="44">
        <f t="shared" si="20"/>
        <v>0</v>
      </c>
      <c r="M54" s="44">
        <f t="shared" si="20"/>
        <v>1</v>
      </c>
      <c r="N54" s="44">
        <f t="shared" si="20"/>
        <v>1</v>
      </c>
      <c r="O54" s="44">
        <f t="shared" si="20"/>
        <v>1</v>
      </c>
      <c r="P54" s="44">
        <f t="shared" si="20"/>
        <v>1</v>
      </c>
      <c r="Q54" s="44">
        <f t="shared" si="20"/>
        <v>1</v>
      </c>
      <c r="R54" s="44">
        <f t="shared" si="20"/>
        <v>0</v>
      </c>
    </row>
    <row r="55" spans="1:78" s="60" customFormat="1" x14ac:dyDescent="0.25">
      <c r="A55" s="96"/>
      <c r="B55" s="95"/>
      <c r="C55" s="144"/>
      <c r="D55" s="97"/>
      <c r="E55" s="126" t="s">
        <v>120</v>
      </c>
      <c r="F55" s="60">
        <f xml:space="preserve"> SUM(J54:BZ54)</f>
        <v>5</v>
      </c>
      <c r="G55" s="60" t="s">
        <v>114</v>
      </c>
    </row>
    <row r="56" spans="1:78" s="60" customFormat="1" x14ac:dyDescent="0.25">
      <c r="A56" s="96"/>
      <c r="B56" s="95"/>
      <c r="C56" s="144"/>
      <c r="D56" s="97"/>
      <c r="E56" s="126"/>
    </row>
    <row r="57" spans="1:78" s="60" customFormat="1" x14ac:dyDescent="0.25">
      <c r="A57" s="96"/>
      <c r="B57" s="95"/>
      <c r="C57" s="144"/>
      <c r="D57" s="97"/>
      <c r="E57" s="126" t="str">
        <f t="shared" ref="E57:R57" si="21" xml:space="preserve"> E$35</f>
        <v>Pre Forecast Period Flag</v>
      </c>
      <c r="F57" s="60">
        <f t="shared" si="21"/>
        <v>0</v>
      </c>
      <c r="G57" s="60" t="str">
        <f t="shared" si="21"/>
        <v>flag</v>
      </c>
      <c r="H57" s="60">
        <f t="shared" si="21"/>
        <v>3</v>
      </c>
      <c r="I57" s="60">
        <f t="shared" si="21"/>
        <v>0</v>
      </c>
      <c r="J57" s="60">
        <f t="shared" si="21"/>
        <v>1</v>
      </c>
      <c r="K57" s="60">
        <f t="shared" si="21"/>
        <v>1</v>
      </c>
      <c r="L57" s="60">
        <f t="shared" si="21"/>
        <v>1</v>
      </c>
      <c r="M57" s="60">
        <f t="shared" si="21"/>
        <v>0</v>
      </c>
      <c r="N57" s="60">
        <f t="shared" si="21"/>
        <v>0</v>
      </c>
      <c r="O57" s="60">
        <f t="shared" si="21"/>
        <v>0</v>
      </c>
      <c r="P57" s="60">
        <f t="shared" si="21"/>
        <v>0</v>
      </c>
      <c r="Q57" s="60">
        <f t="shared" si="21"/>
        <v>0</v>
      </c>
      <c r="R57" s="60">
        <f t="shared" si="21"/>
        <v>0</v>
      </c>
    </row>
    <row r="58" spans="1:78" s="60" customFormat="1" x14ac:dyDescent="0.25">
      <c r="A58" s="96"/>
      <c r="B58" s="95"/>
      <c r="C58" s="144"/>
      <c r="D58" s="97"/>
      <c r="E58" s="126" t="str">
        <f t="shared" ref="E58:R58" si="22" xml:space="preserve"> E$54</f>
        <v>Forecast Period Flag</v>
      </c>
      <c r="F58" s="60">
        <f t="shared" si="22"/>
        <v>0</v>
      </c>
      <c r="G58" s="60" t="str">
        <f t="shared" si="22"/>
        <v>flag</v>
      </c>
      <c r="H58" s="60">
        <f t="shared" si="22"/>
        <v>5</v>
      </c>
      <c r="I58" s="60">
        <f t="shared" si="22"/>
        <v>0</v>
      </c>
      <c r="J58" s="60">
        <f t="shared" si="22"/>
        <v>0</v>
      </c>
      <c r="K58" s="60">
        <f t="shared" si="22"/>
        <v>0</v>
      </c>
      <c r="L58" s="60">
        <f t="shared" si="22"/>
        <v>0</v>
      </c>
      <c r="M58" s="60">
        <f t="shared" si="22"/>
        <v>1</v>
      </c>
      <c r="N58" s="60">
        <f t="shared" si="22"/>
        <v>1</v>
      </c>
      <c r="O58" s="60">
        <f t="shared" si="22"/>
        <v>1</v>
      </c>
      <c r="P58" s="60">
        <f t="shared" si="22"/>
        <v>1</v>
      </c>
      <c r="Q58" s="60">
        <f t="shared" si="22"/>
        <v>1</v>
      </c>
      <c r="R58" s="60">
        <f t="shared" si="22"/>
        <v>0</v>
      </c>
    </row>
    <row r="59" spans="1:78" s="60" customFormat="1" x14ac:dyDescent="0.25">
      <c r="A59" s="96"/>
      <c r="B59" s="95"/>
      <c r="C59" s="144"/>
      <c r="D59" s="97"/>
      <c r="E59" s="126" t="s">
        <v>121</v>
      </c>
      <c r="G59" s="60" t="s">
        <v>102</v>
      </c>
      <c r="J59" s="60" t="str">
        <f t="shared" ref="J59:R59" si="23" xml:space="preserve"> IF(J57 = 1, "Pre Fcst", IF(J58 = 1, "Forecast", "Post-Fcst"))</f>
        <v>Pre Fcst</v>
      </c>
      <c r="K59" s="60" t="str">
        <f t="shared" si="23"/>
        <v>Pre Fcst</v>
      </c>
      <c r="L59" s="60" t="str">
        <f t="shared" si="23"/>
        <v>Pre Fcst</v>
      </c>
      <c r="M59" s="60" t="str">
        <f t="shared" si="23"/>
        <v>Forecast</v>
      </c>
      <c r="N59" s="60" t="str">
        <f t="shared" si="23"/>
        <v>Forecast</v>
      </c>
      <c r="O59" s="60" t="str">
        <f t="shared" si="23"/>
        <v>Forecast</v>
      </c>
      <c r="P59" s="60" t="str">
        <f t="shared" si="23"/>
        <v>Forecast</v>
      </c>
      <c r="Q59" s="60" t="str">
        <f t="shared" si="23"/>
        <v>Forecast</v>
      </c>
      <c r="R59" s="60" t="str">
        <f t="shared" si="23"/>
        <v>Post-Fcst</v>
      </c>
    </row>
    <row r="60" spans="1:78" s="60" customFormat="1" x14ac:dyDescent="0.25">
      <c r="A60" s="96"/>
      <c r="B60" s="95"/>
      <c r="C60" s="144"/>
      <c r="D60" s="97"/>
      <c r="E60" s="126"/>
    </row>
    <row r="61" spans="1:78" s="60" customFormat="1" x14ac:dyDescent="0.25">
      <c r="A61" s="96"/>
      <c r="B61" s="95"/>
      <c r="C61" s="144"/>
      <c r="D61" s="97"/>
      <c r="E61" s="126"/>
    </row>
    <row r="62" spans="1:78" s="60" customFormat="1" x14ac:dyDescent="0.25">
      <c r="A62" s="96" t="s">
        <v>122</v>
      </c>
      <c r="B62" s="95"/>
      <c r="C62" s="144"/>
      <c r="D62" s="97"/>
      <c r="E62" s="126"/>
    </row>
    <row r="63" spans="1:78" s="60" customFormat="1" x14ac:dyDescent="0.25">
      <c r="A63" s="96"/>
      <c r="B63" s="95"/>
      <c r="C63" s="144"/>
      <c r="D63" s="97"/>
      <c r="E63" s="126"/>
    </row>
    <row r="64" spans="1:78" s="60" customFormat="1" x14ac:dyDescent="0.25">
      <c r="A64" s="89"/>
      <c r="B64" s="95"/>
      <c r="C64" s="144"/>
      <c r="D64" s="91"/>
      <c r="E64" s="129" t="str">
        <f t="shared" ref="E64:R64" si="24" xml:space="preserve"> E$50</f>
        <v>Last Forecast Period Flag</v>
      </c>
      <c r="F64" s="44">
        <f t="shared" si="24"/>
        <v>0</v>
      </c>
      <c r="G64" s="44" t="str">
        <f t="shared" si="24"/>
        <v>flag</v>
      </c>
      <c r="H64" s="44">
        <f t="shared" si="24"/>
        <v>1</v>
      </c>
      <c r="I64" s="17">
        <f t="shared" si="24"/>
        <v>0</v>
      </c>
      <c r="J64" s="44">
        <f t="shared" si="24"/>
        <v>0</v>
      </c>
      <c r="K64" s="44">
        <f t="shared" si="24"/>
        <v>0</v>
      </c>
      <c r="L64" s="44">
        <f t="shared" si="24"/>
        <v>0</v>
      </c>
      <c r="M64" s="44">
        <f t="shared" si="24"/>
        <v>0</v>
      </c>
      <c r="N64" s="44">
        <f t="shared" si="24"/>
        <v>0</v>
      </c>
      <c r="O64" s="44">
        <f t="shared" si="24"/>
        <v>0</v>
      </c>
      <c r="P64" s="44">
        <f t="shared" si="24"/>
        <v>0</v>
      </c>
      <c r="Q64" s="44">
        <f t="shared" si="24"/>
        <v>1</v>
      </c>
      <c r="R64" s="44">
        <f t="shared" si="24"/>
        <v>0</v>
      </c>
    </row>
    <row r="65" spans="1:18" s="60" customFormat="1" x14ac:dyDescent="0.25">
      <c r="A65" s="96"/>
      <c r="B65" s="95"/>
      <c r="C65" s="144"/>
      <c r="D65" s="97"/>
      <c r="E65" s="126" t="s">
        <v>123</v>
      </c>
      <c r="G65" s="60" t="s">
        <v>102</v>
      </c>
      <c r="H65" s="60">
        <f xml:space="preserve"> SUM(J65:BZ65)</f>
        <v>1</v>
      </c>
      <c r="J65" s="60">
        <f t="shared" ref="J65:R65" si="25" xml:space="preserve"> I64</f>
        <v>0</v>
      </c>
      <c r="K65" s="60">
        <f t="shared" si="25"/>
        <v>0</v>
      </c>
      <c r="L65" s="60">
        <f t="shared" si="25"/>
        <v>0</v>
      </c>
      <c r="M65" s="60">
        <f t="shared" si="25"/>
        <v>0</v>
      </c>
      <c r="N65" s="60">
        <f t="shared" si="25"/>
        <v>0</v>
      </c>
      <c r="O65" s="60">
        <f t="shared" si="25"/>
        <v>0</v>
      </c>
      <c r="P65" s="60">
        <f t="shared" si="25"/>
        <v>0</v>
      </c>
      <c r="Q65" s="60">
        <f t="shared" si="25"/>
        <v>0</v>
      </c>
      <c r="R65" s="60">
        <f t="shared" si="25"/>
        <v>1</v>
      </c>
    </row>
    <row r="66" spans="1:18" s="60" customFormat="1" x14ac:dyDescent="0.25">
      <c r="A66" s="96"/>
      <c r="B66" s="95"/>
      <c r="C66" s="144"/>
      <c r="D66" s="97"/>
      <c r="E66" s="126"/>
    </row>
    <row r="67" spans="1:18" s="60" customFormat="1" x14ac:dyDescent="0.25">
      <c r="A67" s="96"/>
      <c r="B67" s="95"/>
      <c r="C67" s="144"/>
      <c r="D67" s="97"/>
      <c r="E67" s="126" t="str">
        <f t="shared" ref="E67:R67" si="26" xml:space="preserve"> E$65</f>
        <v>1st Post Last Forecast Period Flag</v>
      </c>
      <c r="F67" s="60">
        <f t="shared" si="26"/>
        <v>0</v>
      </c>
      <c r="G67" s="60" t="str">
        <f t="shared" si="26"/>
        <v>flag</v>
      </c>
      <c r="H67" s="60">
        <f t="shared" si="26"/>
        <v>1</v>
      </c>
      <c r="I67" s="60">
        <f t="shared" si="26"/>
        <v>0</v>
      </c>
      <c r="J67" s="60">
        <f t="shared" si="26"/>
        <v>0</v>
      </c>
      <c r="K67" s="60">
        <f t="shared" si="26"/>
        <v>0</v>
      </c>
      <c r="L67" s="60">
        <f t="shared" si="26"/>
        <v>0</v>
      </c>
      <c r="M67" s="60">
        <f t="shared" si="26"/>
        <v>0</v>
      </c>
      <c r="N67" s="60">
        <f t="shared" si="26"/>
        <v>0</v>
      </c>
      <c r="O67" s="60">
        <f t="shared" si="26"/>
        <v>0</v>
      </c>
      <c r="P67" s="60">
        <f t="shared" si="26"/>
        <v>0</v>
      </c>
      <c r="Q67" s="60">
        <f t="shared" si="26"/>
        <v>0</v>
      </c>
      <c r="R67" s="60">
        <f t="shared" si="26"/>
        <v>1</v>
      </c>
    </row>
    <row r="68" spans="1:18" s="60" customFormat="1" x14ac:dyDescent="0.25">
      <c r="A68" s="96"/>
      <c r="B68" s="95"/>
      <c r="C68" s="144"/>
      <c r="D68" s="97"/>
      <c r="E68" s="126" t="s">
        <v>124</v>
      </c>
      <c r="G68" s="60" t="s">
        <v>102</v>
      </c>
      <c r="H68" s="60">
        <f xml:space="preserve"> SUM(J68:BZ68)</f>
        <v>1</v>
      </c>
      <c r="I68" s="17"/>
      <c r="J68" s="60">
        <f t="shared" ref="J68:R68" si="27" xml:space="preserve"> I68 + J67</f>
        <v>0</v>
      </c>
      <c r="K68" s="60">
        <f t="shared" si="27"/>
        <v>0</v>
      </c>
      <c r="L68" s="60">
        <f t="shared" si="27"/>
        <v>0</v>
      </c>
      <c r="M68" s="60">
        <f t="shared" si="27"/>
        <v>0</v>
      </c>
      <c r="N68" s="60">
        <f t="shared" si="27"/>
        <v>0</v>
      </c>
      <c r="O68" s="60">
        <f t="shared" si="27"/>
        <v>0</v>
      </c>
      <c r="P68" s="60">
        <f t="shared" si="27"/>
        <v>0</v>
      </c>
      <c r="Q68" s="60">
        <f t="shared" si="27"/>
        <v>0</v>
      </c>
      <c r="R68" s="60">
        <f t="shared" si="27"/>
        <v>1</v>
      </c>
    </row>
    <row r="69" spans="1:18" s="60" customFormat="1" x14ac:dyDescent="0.25">
      <c r="A69" s="96"/>
      <c r="B69" s="95"/>
      <c r="C69" s="144"/>
      <c r="D69" s="97"/>
      <c r="E69" s="126" t="s">
        <v>125</v>
      </c>
      <c r="F69" s="60">
        <f xml:space="preserve"> SUM(J68:BZ68)</f>
        <v>1</v>
      </c>
      <c r="G69" s="60" t="s">
        <v>114</v>
      </c>
    </row>
    <row r="70" spans="1:18" s="56" customFormat="1" x14ac:dyDescent="0.25">
      <c r="A70" s="89"/>
      <c r="B70" s="95"/>
      <c r="C70" s="144"/>
      <c r="D70" s="91"/>
      <c r="E70" s="125"/>
    </row>
    <row r="71" spans="1:18" s="56" customFormat="1" x14ac:dyDescent="0.25">
      <c r="A71" s="89"/>
      <c r="B71" s="95"/>
      <c r="C71" s="144"/>
      <c r="D71" s="91"/>
      <c r="E71" s="125"/>
    </row>
    <row r="72" spans="1:18" s="60" customFormat="1" x14ac:dyDescent="0.25">
      <c r="A72" s="96" t="s">
        <v>126</v>
      </c>
      <c r="B72" s="95"/>
      <c r="C72" s="144"/>
      <c r="D72" s="97"/>
      <c r="E72" s="126"/>
    </row>
    <row r="73" spans="1:18" s="56" customFormat="1" x14ac:dyDescent="0.25">
      <c r="A73" s="89"/>
      <c r="B73" s="95"/>
      <c r="C73" s="144"/>
      <c r="D73" s="91"/>
      <c r="E73" s="125"/>
    </row>
    <row r="74" spans="1:18" s="56" customFormat="1" x14ac:dyDescent="0.25">
      <c r="A74" s="89"/>
      <c r="B74" s="95"/>
      <c r="C74" s="144"/>
      <c r="D74" s="91"/>
      <c r="E74" s="125" t="str">
        <f xml:space="preserve"> E$12</f>
        <v>Model Column Total</v>
      </c>
      <c r="F74" s="56">
        <f xml:space="preserve"> F$12</f>
        <v>9</v>
      </c>
      <c r="G74" s="56" t="str">
        <f xml:space="preserve"> G$12</f>
        <v>column</v>
      </c>
    </row>
    <row r="75" spans="1:18" s="56" customFormat="1" x14ac:dyDescent="0.25">
      <c r="A75" s="89"/>
      <c r="B75" s="95"/>
      <c r="C75" s="144"/>
      <c r="D75" s="91" t="s">
        <v>107</v>
      </c>
      <c r="E75" s="125" t="str">
        <f xml:space="preserve"> E$36</f>
        <v>Pre Forecast Period Total</v>
      </c>
      <c r="F75" s="56">
        <f xml:space="preserve"> F$36</f>
        <v>3</v>
      </c>
      <c r="G75" s="56" t="str">
        <f xml:space="preserve"> G$36</f>
        <v>columns</v>
      </c>
    </row>
    <row r="76" spans="1:18" s="56" customFormat="1" x14ac:dyDescent="0.25">
      <c r="A76" s="89"/>
      <c r="B76" s="95"/>
      <c r="C76" s="144"/>
      <c r="D76" s="91" t="s">
        <v>107</v>
      </c>
      <c r="E76" s="125" t="str">
        <f xml:space="preserve"> E$55</f>
        <v xml:space="preserve">Forecast Period Total </v>
      </c>
      <c r="F76" s="56">
        <f xml:space="preserve"> F$55</f>
        <v>5</v>
      </c>
      <c r="G76" s="56" t="str">
        <f xml:space="preserve"> G$55</f>
        <v>columns</v>
      </c>
    </row>
    <row r="77" spans="1:18" s="56" customFormat="1" x14ac:dyDescent="0.25">
      <c r="A77" s="89"/>
      <c r="B77" s="95"/>
      <c r="C77" s="144"/>
      <c r="D77" s="91" t="s">
        <v>107</v>
      </c>
      <c r="E77" s="125" t="str">
        <f xml:space="preserve"> E$69</f>
        <v>Post Forecast Period Total</v>
      </c>
      <c r="F77" s="56">
        <f xml:space="preserve"> F$69</f>
        <v>1</v>
      </c>
      <c r="G77" s="56" t="str">
        <f xml:space="preserve"> G$69</f>
        <v>columns</v>
      </c>
    </row>
    <row r="78" spans="1:18" s="60" customFormat="1" x14ac:dyDescent="0.25">
      <c r="A78" s="96"/>
      <c r="B78" s="95"/>
      <c r="C78" s="144"/>
      <c r="D78" s="97"/>
      <c r="E78" s="126" t="s">
        <v>127</v>
      </c>
      <c r="F78" s="43">
        <f xml:space="preserve"> IF(F74 - SUM(F75:F77) &lt;&gt; 0, 1, 0)</f>
        <v>0</v>
      </c>
      <c r="G78" s="60" t="s">
        <v>128</v>
      </c>
    </row>
    <row r="79" spans="1:18" s="56" customFormat="1" x14ac:dyDescent="0.25">
      <c r="A79" s="89"/>
      <c r="B79" s="95"/>
      <c r="C79" s="144"/>
      <c r="D79" s="91"/>
      <c r="E79" s="125"/>
    </row>
    <row r="80" spans="1:18" s="60" customFormat="1" x14ac:dyDescent="0.25">
      <c r="A80" s="168" t="s">
        <v>129</v>
      </c>
      <c r="B80" s="95"/>
      <c r="C80" s="144"/>
      <c r="D80" s="97"/>
      <c r="E80" s="126"/>
    </row>
    <row r="81" spans="1:18" s="56" customFormat="1" x14ac:dyDescent="0.25">
      <c r="A81" s="89"/>
      <c r="B81" s="95"/>
      <c r="C81" s="144"/>
      <c r="D81" s="91"/>
      <c r="E81" s="125"/>
    </row>
    <row r="82" spans="1:18" s="56" customFormat="1" x14ac:dyDescent="0.25">
      <c r="A82" s="89"/>
      <c r="B82" s="95"/>
      <c r="C82" s="144"/>
      <c r="D82" s="91"/>
      <c r="E82" s="130" t="str">
        <f>InpR!E$22</f>
        <v>First Modelling Column Financial Year Number</v>
      </c>
      <c r="F82" s="4">
        <f>InpR!F$22</f>
        <v>2018</v>
      </c>
      <c r="G82" s="135" t="str">
        <f>InpR!G$22</f>
        <v>year</v>
      </c>
    </row>
    <row r="83" spans="1:18" s="56" customFormat="1" x14ac:dyDescent="0.25">
      <c r="A83" s="89"/>
      <c r="B83" s="95"/>
      <c r="C83" s="144"/>
      <c r="D83" s="91"/>
      <c r="E83" s="130" t="str">
        <f>InpR!E$23</f>
        <v>Financial Year End Month Number</v>
      </c>
      <c r="F83" s="345">
        <f>InpR!F$23</f>
        <v>3</v>
      </c>
      <c r="G83" s="135" t="str">
        <f>InpR!G$23</f>
        <v>month #</v>
      </c>
    </row>
    <row r="84" spans="1:18" s="22" customFormat="1" x14ac:dyDescent="0.25">
      <c r="A84" s="123"/>
      <c r="B84" s="111"/>
      <c r="C84" s="162"/>
      <c r="D84" s="110"/>
      <c r="E84" s="125" t="str">
        <f t="shared" ref="E84:R84" si="28" xml:space="preserve"> E$23</f>
        <v>Model Period END</v>
      </c>
      <c r="F84" s="22">
        <f t="shared" si="28"/>
        <v>0</v>
      </c>
      <c r="G84" s="22" t="str">
        <f t="shared" si="28"/>
        <v>date</v>
      </c>
      <c r="H84" s="22">
        <f t="shared" si="28"/>
        <v>0</v>
      </c>
      <c r="I84" s="22">
        <f t="shared" si="28"/>
        <v>0</v>
      </c>
      <c r="J84" s="22">
        <f t="shared" si="28"/>
        <v>43190</v>
      </c>
      <c r="K84" s="22">
        <f t="shared" si="28"/>
        <v>43555</v>
      </c>
      <c r="L84" s="22">
        <f t="shared" si="28"/>
        <v>43921</v>
      </c>
      <c r="M84" s="22">
        <f t="shared" si="28"/>
        <v>44286</v>
      </c>
      <c r="N84" s="22">
        <f t="shared" si="28"/>
        <v>44651</v>
      </c>
      <c r="O84" s="22">
        <f t="shared" si="28"/>
        <v>45016</v>
      </c>
      <c r="P84" s="22">
        <f t="shared" si="28"/>
        <v>45382</v>
      </c>
      <c r="Q84" s="22">
        <f t="shared" si="28"/>
        <v>45747</v>
      </c>
      <c r="R84" s="22">
        <f t="shared" si="28"/>
        <v>46112</v>
      </c>
    </row>
    <row r="85" spans="1:18" s="56" customFormat="1" x14ac:dyDescent="0.25">
      <c r="A85" s="89"/>
      <c r="B85" s="95"/>
      <c r="C85" s="144"/>
      <c r="D85" s="91"/>
      <c r="E85" s="125" t="str">
        <f t="shared" ref="E85:R85" si="29" xml:space="preserve"> E$15</f>
        <v>First model column flag</v>
      </c>
      <c r="F85" s="56">
        <f t="shared" si="29"/>
        <v>0</v>
      </c>
      <c r="G85" s="56" t="str">
        <f t="shared" si="29"/>
        <v>flag</v>
      </c>
      <c r="H85" s="56">
        <f t="shared" si="29"/>
        <v>1</v>
      </c>
      <c r="I85" s="56">
        <f t="shared" si="29"/>
        <v>0</v>
      </c>
      <c r="J85" s="56">
        <f t="shared" si="29"/>
        <v>1</v>
      </c>
      <c r="K85" s="56">
        <f t="shared" si="29"/>
        <v>0</v>
      </c>
      <c r="L85" s="56">
        <f t="shared" si="29"/>
        <v>0</v>
      </c>
      <c r="M85" s="56">
        <f t="shared" si="29"/>
        <v>0</v>
      </c>
      <c r="N85" s="56">
        <f t="shared" si="29"/>
        <v>0</v>
      </c>
      <c r="O85" s="56">
        <f t="shared" si="29"/>
        <v>0</v>
      </c>
      <c r="P85" s="56">
        <f t="shared" si="29"/>
        <v>0</v>
      </c>
      <c r="Q85" s="56">
        <f t="shared" si="29"/>
        <v>0</v>
      </c>
      <c r="R85" s="56">
        <f t="shared" si="29"/>
        <v>0</v>
      </c>
    </row>
    <row r="86" spans="1:18" s="56" customFormat="1" x14ac:dyDescent="0.25">
      <c r="A86" s="89"/>
      <c r="B86" s="95"/>
      <c r="C86" s="144"/>
      <c r="D86" s="91"/>
      <c r="E86" s="125" t="s">
        <v>130</v>
      </c>
      <c r="G86" s="56" t="s">
        <v>131</v>
      </c>
      <c r="I86" s="17"/>
      <c r="J86" s="56">
        <f xml:space="preserve"> IF(J85 = 1, $F82, IF(J84 &gt; (DATE(I86, $F83 + 1, 1) - 1), I86 + 1, I86))</f>
        <v>2018</v>
      </c>
      <c r="K86" s="56">
        <f t="shared" ref="K86:R86" si="30" xml:space="preserve"> IF(K85 = 1, $F82, IF(K84 &gt; (DATE(J86, $F83 + 1, 1) - 1), J86 + 1, J86))</f>
        <v>2019</v>
      </c>
      <c r="L86" s="56">
        <f t="shared" si="30"/>
        <v>2020</v>
      </c>
      <c r="M86" s="56">
        <f t="shared" si="30"/>
        <v>2021</v>
      </c>
      <c r="N86" s="56">
        <f t="shared" si="30"/>
        <v>2022</v>
      </c>
      <c r="O86" s="56">
        <f t="shared" si="30"/>
        <v>2023</v>
      </c>
      <c r="P86" s="56">
        <f t="shared" si="30"/>
        <v>2024</v>
      </c>
      <c r="Q86" s="56">
        <f t="shared" si="30"/>
        <v>2025</v>
      </c>
      <c r="R86" s="56">
        <f t="shared" si="30"/>
        <v>2026</v>
      </c>
    </row>
    <row r="89" spans="1:18" s="1" customFormat="1" x14ac:dyDescent="0.3">
      <c r="A89" s="14" t="s">
        <v>62</v>
      </c>
    </row>
  </sheetData>
  <conditionalFormatting sqref="F78">
    <cfRule type="cellIs" dxfId="77" priority="13" stopIfTrue="1" operator="notEqual">
      <formula>0</formula>
    </cfRule>
    <cfRule type="cellIs" dxfId="76" priority="14" stopIfTrue="1" operator="equal">
      <formula>""</formula>
    </cfRule>
  </conditionalFormatting>
  <conditionalFormatting sqref="F2">
    <cfRule type="cellIs" dxfId="75" priority="2" stopIfTrue="1" operator="notEqual">
      <formula>0</formula>
    </cfRule>
    <cfRule type="cellIs" dxfId="74" priority="3" stopIfTrue="1" operator="equal">
      <formula>""</formula>
    </cfRule>
  </conditionalFormatting>
  <conditionalFormatting sqref="J3:BZ3">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9" scale="42"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outlinePr summaryBelow="0" summaryRight="0"/>
    <pageSetUpPr fitToPage="1"/>
  </sheetPr>
  <dimension ref="A1:DB138"/>
  <sheetViews>
    <sheetView zoomScaleNormal="100" workbookViewId="0">
      <pane xSplit="9" ySplit="6" topLeftCell="J7" activePane="bottomRight" state="frozen"/>
      <selection pane="topRight"/>
      <selection pane="bottomLeft"/>
      <selection pane="bottomRight"/>
    </sheetView>
  </sheetViews>
  <sheetFormatPr defaultColWidth="0" defaultRowHeight="13" x14ac:dyDescent="0.25"/>
  <cols>
    <col min="1" max="1" width="1.453125" style="69" customWidth="1"/>
    <col min="2" max="2" width="1.453125" style="80" customWidth="1"/>
    <col min="3" max="3" width="1.453125" style="144" customWidth="1"/>
    <col min="4" max="4" width="1.453125" style="74" customWidth="1"/>
    <col min="5" max="5" width="40.54296875" style="125" customWidth="1"/>
    <col min="6" max="6" width="12.54296875" style="56" customWidth="1"/>
    <col min="7" max="7" width="11.54296875" style="56" customWidth="1"/>
    <col min="8" max="8" width="51.81640625" style="56" bestFit="1" customWidth="1"/>
    <col min="9" max="9" width="2.54296875" style="56" customWidth="1"/>
    <col min="10" max="18" width="11.54296875" style="56" customWidth="1"/>
    <col min="19" max="78" width="11.54296875" style="56" hidden="1" customWidth="1"/>
    <col min="79" max="106" width="0" style="56" hidden="1" customWidth="1"/>
    <col min="107" max="16384" width="9.1796875" style="56" hidden="1"/>
  </cols>
  <sheetData>
    <row r="1" spans="1:78" s="156" customFormat="1" ht="25" x14ac:dyDescent="0.5">
      <c r="A1" s="152" t="str">
        <f ca="1" xml:space="preserve"> RIGHT(CELL("filename", $A$1), LEN(CELL("filename", $A$1)) - SEARCH("]", CELL("filename", $A$1)))</f>
        <v>Index</v>
      </c>
      <c r="C1" s="167"/>
      <c r="E1" s="166"/>
    </row>
    <row r="2" spans="1:78"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row>
    <row r="3" spans="1:78"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row>
    <row r="4" spans="1:78" s="15" customFormat="1" x14ac:dyDescent="0.25">
      <c r="A4" s="34"/>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row>
    <row r="5" spans="1:78" s="15" customFormat="1" x14ac:dyDescent="0.25">
      <c r="A5" s="34"/>
      <c r="B5" s="79"/>
      <c r="C5" s="143"/>
      <c r="D5" s="73"/>
      <c r="E5" s="32"/>
      <c r="F5" s="32"/>
      <c r="G5" s="274"/>
      <c r="H5" s="32"/>
      <c r="I5" s="32"/>
      <c r="J5" s="63"/>
      <c r="K5" s="63"/>
      <c r="L5" s="63"/>
      <c r="M5" s="63"/>
      <c r="N5" s="63"/>
      <c r="O5" s="63"/>
      <c r="P5" s="63"/>
      <c r="Q5" s="63"/>
      <c r="R5" s="63"/>
    </row>
    <row r="6" spans="1:78"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row>
    <row r="7" spans="1:78" x14ac:dyDescent="0.25">
      <c r="A7" s="89"/>
      <c r="B7" s="95"/>
      <c r="D7" s="91"/>
    </row>
    <row r="8" spans="1:78" x14ac:dyDescent="0.25">
      <c r="A8" s="89"/>
      <c r="B8" s="95"/>
      <c r="D8" s="91"/>
    </row>
    <row r="9" spans="1:78" x14ac:dyDescent="0.25">
      <c r="A9" s="346" t="s">
        <v>181</v>
      </c>
      <c r="B9" s="347"/>
      <c r="C9" s="348"/>
      <c r="D9" s="348"/>
      <c r="E9" s="348"/>
      <c r="F9" s="348"/>
      <c r="G9" s="348"/>
      <c r="H9" s="348"/>
      <c r="I9" s="348"/>
      <c r="J9" s="348"/>
      <c r="K9" s="348"/>
      <c r="L9" s="348"/>
      <c r="M9" s="348"/>
      <c r="N9" s="348"/>
      <c r="O9" s="348"/>
      <c r="P9" s="348"/>
      <c r="Q9" s="348"/>
      <c r="R9" s="348"/>
    </row>
    <row r="10" spans="1:78" s="60" customFormat="1" x14ac:dyDescent="0.25">
      <c r="A10" s="69"/>
      <c r="B10" s="80" t="s">
        <v>182</v>
      </c>
      <c r="C10" s="150"/>
      <c r="D10" s="74"/>
      <c r="E10" s="126"/>
    </row>
    <row r="11" spans="1:78" s="98" customFormat="1" x14ac:dyDescent="0.25">
      <c r="A11" s="69"/>
      <c r="B11" s="80"/>
      <c r="C11" s="150"/>
      <c r="D11" s="88"/>
      <c r="E11" s="281" t="str">
        <f xml:space="preserve"> InpR!E$27</f>
        <v>RPI: April - index - final determination</v>
      </c>
      <c r="F11" s="281"/>
      <c r="G11" s="281" t="str">
        <f xml:space="preserve"> InpR!G$27</f>
        <v>index</v>
      </c>
      <c r="H11" s="281" t="str">
        <f xml:space="preserve"> InpR!I$27</f>
        <v>PR19 Financial model, 'Index' sheet row 131</v>
      </c>
      <c r="I11" s="281" t="e">
        <f xml:space="preserve"> InpR!#REF!</f>
        <v>#REF!</v>
      </c>
      <c r="J11" s="281">
        <f xml:space="preserve"> InpR!J$27</f>
        <v>0</v>
      </c>
      <c r="K11" s="281">
        <f xml:space="preserve"> InpR!K$27</f>
        <v>279.7</v>
      </c>
      <c r="L11" s="281">
        <f xml:space="preserve"> InpR!L$27</f>
        <v>288.2</v>
      </c>
      <c r="M11" s="281">
        <f xml:space="preserve"> InpR!M$27</f>
        <v>296.81994379694203</v>
      </c>
      <c r="N11" s="281">
        <f xml:space="preserve"> InpR!N$27</f>
        <v>305.32865399748601</v>
      </c>
      <c r="O11" s="281">
        <f xml:space="preserve"> InpR!O$27</f>
        <v>314.691934446201</v>
      </c>
      <c r="P11" s="281">
        <f xml:space="preserve"> InpR!P$27</f>
        <v>324.76207634847901</v>
      </c>
      <c r="Q11" s="281">
        <f xml:space="preserve"> InpR!Q$27</f>
        <v>335.15446279163098</v>
      </c>
      <c r="R11" s="281">
        <f xml:space="preserve"> InpR!R$27</f>
        <v>345.20909667538001</v>
      </c>
    </row>
    <row r="12" spans="1:78" s="98" customFormat="1" x14ac:dyDescent="0.25">
      <c r="A12" s="69"/>
      <c r="B12" s="80"/>
      <c r="C12" s="150"/>
      <c r="D12" s="88"/>
      <c r="E12" s="281" t="str">
        <f xml:space="preserve"> InpR!E$28</f>
        <v>RPI: May - index - final determination</v>
      </c>
      <c r="F12" s="281"/>
      <c r="G12" s="281" t="str">
        <f xml:space="preserve"> InpR!G$28</f>
        <v>index</v>
      </c>
      <c r="H12" s="281" t="str">
        <f xml:space="preserve"> InpR!I$28</f>
        <v>PR19 Financial model, 'Index' sheet row 132</v>
      </c>
      <c r="I12" s="281" t="e">
        <f xml:space="preserve"> InpR!#REF!</f>
        <v>#REF!</v>
      </c>
      <c r="J12" s="281">
        <f xml:space="preserve"> InpR!J$28</f>
        <v>0</v>
      </c>
      <c r="K12" s="281">
        <f xml:space="preserve"> InpR!K$28</f>
        <v>280.7</v>
      </c>
      <c r="L12" s="281">
        <f xml:space="preserve"> InpR!L$28</f>
        <v>289.2</v>
      </c>
      <c r="M12" s="281">
        <f xml:space="preserve"> InpR!M$28</f>
        <v>297.50379137925398</v>
      </c>
      <c r="N12" s="281">
        <f xml:space="preserve"> InpR!N$28</f>
        <v>306.08167682745898</v>
      </c>
      <c r="O12" s="281">
        <f xml:space="preserve"> InpR!O$28</f>
        <v>315.51905088813697</v>
      </c>
      <c r="P12" s="281">
        <f xml:space="preserve"> InpR!P$28</f>
        <v>325.61566051655802</v>
      </c>
      <c r="Q12" s="281">
        <f xml:space="preserve"> InpR!Q$28</f>
        <v>336.03536165308702</v>
      </c>
      <c r="R12" s="281">
        <f xml:space="preserve"> InpR!R$28</f>
        <v>346.11642250268</v>
      </c>
    </row>
    <row r="13" spans="1:78" s="98" customFormat="1" x14ac:dyDescent="0.25">
      <c r="A13" s="69"/>
      <c r="B13" s="80"/>
      <c r="C13" s="150"/>
      <c r="D13" s="88"/>
      <c r="E13" s="281" t="str">
        <f xml:space="preserve"> InpR!E$29</f>
        <v>RPI: June - index - final determination</v>
      </c>
      <c r="F13" s="281"/>
      <c r="G13" s="281" t="str">
        <f xml:space="preserve"> InpR!G$29</f>
        <v>index</v>
      </c>
      <c r="H13" s="281" t="str">
        <f xml:space="preserve"> InpR!I$29</f>
        <v>PR19 Financial model, 'Index' sheet row 133</v>
      </c>
      <c r="I13" s="281" t="e">
        <f xml:space="preserve"> InpR!#REF!</f>
        <v>#REF!</v>
      </c>
      <c r="J13" s="281">
        <f xml:space="preserve"> InpR!J$29</f>
        <v>0</v>
      </c>
      <c r="K13" s="281">
        <f xml:space="preserve"> InpR!K$29</f>
        <v>281.5</v>
      </c>
      <c r="L13" s="281">
        <f xml:space="preserve"> InpR!L$29</f>
        <v>289.60000000000002</v>
      </c>
      <c r="M13" s="281">
        <f xml:space="preserve"> InpR!M$29</f>
        <v>298.18921448748898</v>
      </c>
      <c r="N13" s="281">
        <f xml:space="preserve"> InpR!N$29</f>
        <v>306.83655681487397</v>
      </c>
      <c r="O13" s="281">
        <f xml:space="preserve"> InpR!O$29</f>
        <v>316.34834127078699</v>
      </c>
      <c r="P13" s="281">
        <f xml:space="preserve"> InpR!P$29</f>
        <v>326.47148819145201</v>
      </c>
      <c r="Q13" s="281">
        <f xml:space="preserve"> InpR!Q$29</f>
        <v>336.91857581357903</v>
      </c>
      <c r="R13" s="281">
        <f xml:space="preserve"> InpR!R$29</f>
        <v>347.02613308798601</v>
      </c>
    </row>
    <row r="14" spans="1:78" s="98" customFormat="1" x14ac:dyDescent="0.25">
      <c r="A14" s="69"/>
      <c r="B14" s="80"/>
      <c r="C14" s="150"/>
      <c r="D14" s="88"/>
      <c r="E14" s="281" t="str">
        <f xml:space="preserve"> InpR!E$30</f>
        <v>RPI: July - index - final determination</v>
      </c>
      <c r="F14" s="281"/>
      <c r="G14" s="281" t="str">
        <f xml:space="preserve"> InpR!G$30</f>
        <v>index</v>
      </c>
      <c r="H14" s="281" t="str">
        <f xml:space="preserve"> InpR!I$30</f>
        <v>PR19 Financial model, 'Index' sheet row 134</v>
      </c>
      <c r="I14" s="281" t="e">
        <f xml:space="preserve"> InpR!#REF!</f>
        <v>#REF!</v>
      </c>
      <c r="J14" s="281">
        <f xml:space="preserve"> InpR!J$30</f>
        <v>0</v>
      </c>
      <c r="K14" s="281">
        <f xml:space="preserve"> InpR!K$30</f>
        <v>281.7</v>
      </c>
      <c r="L14" s="281">
        <f xml:space="preserve"> InpR!L$30</f>
        <v>289.5</v>
      </c>
      <c r="M14" s="281">
        <f xml:space="preserve"> InpR!M$30</f>
        <v>298.87621675152297</v>
      </c>
      <c r="N14" s="281">
        <f xml:space="preserve"> InpR!N$30</f>
        <v>307.593298539984</v>
      </c>
      <c r="O14" s="281">
        <f xml:space="preserve"> InpR!O$30</f>
        <v>317.17981130799899</v>
      </c>
      <c r="P14" s="281">
        <f xml:space="preserve"> InpR!P$30</f>
        <v>327.32956526985498</v>
      </c>
      <c r="Q14" s="281">
        <f xml:space="preserve"> InpR!Q$30</f>
        <v>337.80411135849101</v>
      </c>
      <c r="R14" s="281">
        <f xml:space="preserve"> InpR!R$30</f>
        <v>347.93823469924502</v>
      </c>
    </row>
    <row r="15" spans="1:78" s="98" customFormat="1" x14ac:dyDescent="0.25">
      <c r="A15" s="69"/>
      <c r="B15" s="80"/>
      <c r="C15" s="150"/>
      <c r="D15" s="88"/>
      <c r="E15" s="281" t="str">
        <f xml:space="preserve"> InpR!E$31</f>
        <v>RPI: August - index - final determination</v>
      </c>
      <c r="F15" s="281"/>
      <c r="G15" s="281" t="str">
        <f xml:space="preserve"> InpR!G$31</f>
        <v>index</v>
      </c>
      <c r="H15" s="281" t="str">
        <f xml:space="preserve"> InpR!I$31</f>
        <v>PR19 Financial model, 'Index' sheet row 135</v>
      </c>
      <c r="I15" s="281" t="e">
        <f xml:space="preserve"> InpR!#REF!</f>
        <v>#REF!</v>
      </c>
      <c r="J15" s="281">
        <f xml:space="preserve"> InpR!J$31</f>
        <v>0</v>
      </c>
      <c r="K15" s="281">
        <f xml:space="preserve"> InpR!K$31</f>
        <v>284.2</v>
      </c>
      <c r="L15" s="281">
        <f xml:space="preserve"> InpR!L$31</f>
        <v>291.5</v>
      </c>
      <c r="M15" s="281">
        <f xml:space="preserve"> InpR!M$31</f>
        <v>299.56480180959397</v>
      </c>
      <c r="N15" s="281">
        <f xml:space="preserve"> InpR!N$31</f>
        <v>308.35190659433698</v>
      </c>
      <c r="O15" s="281">
        <f xml:space="preserve"> InpR!O$31</f>
        <v>318.01346672864003</v>
      </c>
      <c r="P15" s="281">
        <f xml:space="preserve"> InpR!P$31</f>
        <v>328.18989766395703</v>
      </c>
      <c r="Q15" s="281">
        <f xml:space="preserve"> InpR!Q$31</f>
        <v>338.69197438920298</v>
      </c>
      <c r="R15" s="281">
        <f xml:space="preserve"> InpR!R$31</f>
        <v>348.85273362087997</v>
      </c>
    </row>
    <row r="16" spans="1:78" s="98" customFormat="1" x14ac:dyDescent="0.25">
      <c r="A16" s="69"/>
      <c r="B16" s="80"/>
      <c r="C16" s="150"/>
      <c r="D16" s="88"/>
      <c r="E16" s="281" t="str">
        <f xml:space="preserve"> InpR!E$32</f>
        <v>RPI: September - index - final determination</v>
      </c>
      <c r="F16" s="281"/>
      <c r="G16" s="281" t="str">
        <f xml:space="preserve"> InpR!G$32</f>
        <v>index</v>
      </c>
      <c r="H16" s="281" t="str">
        <f xml:space="preserve"> InpR!I$32</f>
        <v>PR19 Financial model, 'Index' sheet row 136</v>
      </c>
      <c r="I16" s="281" t="e">
        <f xml:space="preserve"> InpR!#REF!</f>
        <v>#REF!</v>
      </c>
      <c r="J16" s="281">
        <f xml:space="preserve"> InpR!J$32</f>
        <v>0</v>
      </c>
      <c r="K16" s="281">
        <f xml:space="preserve"> InpR!K$32</f>
        <v>284.10000000000002</v>
      </c>
      <c r="L16" s="281">
        <f xml:space="preserve"> InpR!L$32</f>
        <v>292.14789585630501</v>
      </c>
      <c r="M16" s="281">
        <f xml:space="preserve"> InpR!M$32</f>
        <v>300.254973308324</v>
      </c>
      <c r="N16" s="281">
        <f xml:space="preserve"> InpR!N$32</f>
        <v>309.11238558080299</v>
      </c>
      <c r="O16" s="281">
        <f xml:space="preserve"> InpR!O$32</f>
        <v>318.84931327663401</v>
      </c>
      <c r="P16" s="281">
        <f xml:space="preserve"> InpR!P$32</f>
        <v>329.05249130148701</v>
      </c>
      <c r="Q16" s="281">
        <f xml:space="preserve"> InpR!Q$32</f>
        <v>339.58217102313398</v>
      </c>
      <c r="R16" s="281">
        <f xml:space="preserve"> InpR!R$32</f>
        <v>349.769636153828</v>
      </c>
    </row>
    <row r="17" spans="1:18" s="98" customFormat="1" x14ac:dyDescent="0.25">
      <c r="A17" s="69"/>
      <c r="B17" s="80"/>
      <c r="C17" s="150"/>
      <c r="D17" s="88"/>
      <c r="E17" s="281" t="str">
        <f xml:space="preserve"> InpR!E$33</f>
        <v>RPI: October - index - final determination</v>
      </c>
      <c r="F17" s="281"/>
      <c r="G17" s="281" t="str">
        <f xml:space="preserve"> InpR!G$33</f>
        <v>index</v>
      </c>
      <c r="H17" s="281" t="str">
        <f xml:space="preserve"> InpR!I$33</f>
        <v>PR19 Financial model, 'Index' sheet row 137</v>
      </c>
      <c r="I17" s="281" t="e">
        <f xml:space="preserve"> InpR!#REF!</f>
        <v>#REF!</v>
      </c>
      <c r="J17" s="281">
        <f xml:space="preserve"> InpR!J$33</f>
        <v>0</v>
      </c>
      <c r="K17" s="281">
        <f xml:space="preserve"> InpR!K$33</f>
        <v>284.5</v>
      </c>
      <c r="L17" s="281">
        <f xml:space="preserve"> InpR!L$33</f>
        <v>292.79723174362402</v>
      </c>
      <c r="M17" s="281">
        <f xml:space="preserve"> InpR!M$33</f>
        <v>300.94673490273601</v>
      </c>
      <c r="N17" s="281">
        <f xml:space="preserve"> InpR!N$33</f>
        <v>309.87474011360501</v>
      </c>
      <c r="O17" s="281">
        <f xml:space="preserve"> InpR!O$33</f>
        <v>319.687356711002</v>
      </c>
      <c r="P17" s="281">
        <f xml:space="preserve"> InpR!P$33</f>
        <v>329.91735212575401</v>
      </c>
      <c r="Q17" s="281">
        <f xml:space="preserve"> InpR!Q$33</f>
        <v>340.474707393779</v>
      </c>
      <c r="R17" s="281">
        <f xml:space="preserve"> InpR!R$33</f>
        <v>350.68894861559198</v>
      </c>
    </row>
    <row r="18" spans="1:18" s="98" customFormat="1" x14ac:dyDescent="0.25">
      <c r="A18" s="69"/>
      <c r="B18" s="80"/>
      <c r="C18" s="150"/>
      <c r="D18" s="88"/>
      <c r="E18" s="281" t="str">
        <f xml:space="preserve"> InpR!E$34</f>
        <v>RPI: November - index - final determination</v>
      </c>
      <c r="F18" s="281"/>
      <c r="G18" s="281" t="str">
        <f xml:space="preserve"> InpR!G$34</f>
        <v>index</v>
      </c>
      <c r="H18" s="281" t="str">
        <f xml:space="preserve"> InpR!I$34</f>
        <v>PR19 Financial model, 'Index' sheet row 138</v>
      </c>
      <c r="I18" s="281" t="e">
        <f xml:space="preserve"> InpR!#REF!</f>
        <v>#REF!</v>
      </c>
      <c r="J18" s="281">
        <f xml:space="preserve"> InpR!J$34</f>
        <v>0</v>
      </c>
      <c r="K18" s="281">
        <f xml:space="preserve"> InpR!K$34</f>
        <v>284.60000000000002</v>
      </c>
      <c r="L18" s="281">
        <f xml:space="preserve"> InpR!L$34</f>
        <v>293.44801086260998</v>
      </c>
      <c r="M18" s="281">
        <f xml:space="preserve"> InpR!M$34</f>
        <v>301.640090256272</v>
      </c>
      <c r="N18" s="281">
        <f xml:space="preserve"> InpR!N$34</f>
        <v>310.638974818348</v>
      </c>
      <c r="O18" s="281">
        <f xml:space="preserve"> InpR!O$34</f>
        <v>320.52760280590201</v>
      </c>
      <c r="P18" s="281">
        <f xml:space="preserve"> InpR!P$34</f>
        <v>330.78448609569102</v>
      </c>
      <c r="Q18" s="281">
        <f xml:space="preserve"> InpR!Q$34</f>
        <v>341.36958965075303</v>
      </c>
      <c r="R18" s="281">
        <f xml:space="preserve"> InpR!R$34</f>
        <v>351.61067734027603</v>
      </c>
    </row>
    <row r="19" spans="1:18" s="98" customFormat="1" x14ac:dyDescent="0.25">
      <c r="A19" s="69"/>
      <c r="B19" s="80"/>
      <c r="C19" s="150"/>
      <c r="D19" s="88"/>
      <c r="E19" s="281" t="str">
        <f xml:space="preserve"> InpR!E$35</f>
        <v>RPI: December - index - final determination</v>
      </c>
      <c r="F19" s="281"/>
      <c r="G19" s="281" t="str">
        <f xml:space="preserve"> InpR!G$35</f>
        <v>index</v>
      </c>
      <c r="H19" s="281" t="str">
        <f xml:space="preserve"> InpR!I$35</f>
        <v>PR19 Financial model, 'Index' sheet row 139</v>
      </c>
      <c r="I19" s="281" t="e">
        <f xml:space="preserve"> InpR!#REF!</f>
        <v>#REF!</v>
      </c>
      <c r="J19" s="281">
        <f xml:space="preserve"> InpR!J$35</f>
        <v>0</v>
      </c>
      <c r="K19" s="281">
        <f xml:space="preserve"> InpR!K$35</f>
        <v>285.60000000000002</v>
      </c>
      <c r="L19" s="281">
        <f xml:space="preserve"> InpR!L$35</f>
        <v>294.100236421028</v>
      </c>
      <c r="M19" s="281">
        <f xml:space="preserve"> InpR!M$35</f>
        <v>302.33504304081703</v>
      </c>
      <c r="N19" s="281">
        <f xml:space="preserve"> InpR!N$35</f>
        <v>311.40509433204198</v>
      </c>
      <c r="O19" s="281">
        <f xml:space="preserve"> InpR!O$35</f>
        <v>321.37005735066703</v>
      </c>
      <c r="P19" s="281">
        <f xml:space="preserve"> InpR!P$35</f>
        <v>331.65389918588897</v>
      </c>
      <c r="Q19" s="281">
        <f xml:space="preserve"> InpR!Q$35</f>
        <v>342.26682395983698</v>
      </c>
      <c r="R19" s="281">
        <f xml:space="preserve"> InpR!R$35</f>
        <v>352.53482867863198</v>
      </c>
    </row>
    <row r="20" spans="1:18" s="98" customFormat="1" x14ac:dyDescent="0.25">
      <c r="A20" s="69"/>
      <c r="B20" s="80"/>
      <c r="C20" s="150"/>
      <c r="D20" s="88"/>
      <c r="E20" s="281" t="str">
        <f xml:space="preserve"> InpR!E$36</f>
        <v>RPI: January - index - final determination</v>
      </c>
      <c r="F20" s="281"/>
      <c r="G20" s="281" t="str">
        <f xml:space="preserve"> InpR!G$36</f>
        <v>index</v>
      </c>
      <c r="H20" s="281" t="str">
        <f xml:space="preserve"> InpR!I$36</f>
        <v>PR19 Financial model, 'Index' sheet row 140</v>
      </c>
      <c r="I20" s="281" t="e">
        <f xml:space="preserve"> InpR!#REF!</f>
        <v>#REF!</v>
      </c>
      <c r="J20" s="281">
        <f xml:space="preserve"> InpR!J$36</f>
        <v>0</v>
      </c>
      <c r="K20" s="281">
        <f xml:space="preserve"> InpR!K$36</f>
        <v>283</v>
      </c>
      <c r="L20" s="281">
        <f xml:space="preserve"> InpR!L$36</f>
        <v>294.77781803182302</v>
      </c>
      <c r="M20" s="281">
        <f xml:space="preserve"> InpR!M$36</f>
        <v>303.08068281857697</v>
      </c>
      <c r="N20" s="281">
        <f xml:space="preserve"> InpR!N$36</f>
        <v>312.22357185062901</v>
      </c>
      <c r="O20" s="281">
        <f xml:space="preserve"> InpR!O$36</f>
        <v>322.21472614984901</v>
      </c>
      <c r="P20" s="281">
        <f xml:space="preserve"> InpR!P$36</f>
        <v>332.52559738664399</v>
      </c>
      <c r="Q20" s="281">
        <f xml:space="preserve"> InpR!Q$36</f>
        <v>343.16641650301699</v>
      </c>
      <c r="R20" s="281">
        <f xml:space="preserve"> InpR!R$36</f>
        <v>353.461408998107</v>
      </c>
    </row>
    <row r="21" spans="1:18" s="98" customFormat="1" x14ac:dyDescent="0.25">
      <c r="A21" s="69"/>
      <c r="B21" s="80"/>
      <c r="C21" s="150"/>
      <c r="D21" s="88"/>
      <c r="E21" s="281" t="str">
        <f xml:space="preserve"> InpR!E$37</f>
        <v>RPI: February - index - final determination</v>
      </c>
      <c r="F21" s="281"/>
      <c r="G21" s="281" t="str">
        <f xml:space="preserve"> InpR!G$37</f>
        <v>index</v>
      </c>
      <c r="H21" s="281" t="str">
        <f xml:space="preserve"> InpR!I$37</f>
        <v>PR19 Financial model, 'Index' sheet row 141</v>
      </c>
      <c r="I21" s="281" t="e">
        <f xml:space="preserve"> InpR!#REF!</f>
        <v>#REF!</v>
      </c>
      <c r="J21" s="281">
        <f xml:space="preserve"> InpR!J$37</f>
        <v>0</v>
      </c>
      <c r="K21" s="281">
        <f xml:space="preserve"> InpR!K$37</f>
        <v>285</v>
      </c>
      <c r="L21" s="281">
        <f xml:space="preserve"> InpR!L$37</f>
        <v>295.45696073228203</v>
      </c>
      <c r="M21" s="281">
        <f xml:space="preserve"> InpR!M$37</f>
        <v>303.82816154518099</v>
      </c>
      <c r="N21" s="281">
        <f xml:space="preserve"> InpR!N$37</f>
        <v>313.04420060392698</v>
      </c>
      <c r="O21" s="281">
        <f xml:space="preserve"> InpR!O$37</f>
        <v>323.06161502325301</v>
      </c>
      <c r="P21" s="281">
        <f xml:space="preserve"> InpR!P$37</f>
        <v>333.39958670399699</v>
      </c>
      <c r="Q21" s="281">
        <f xml:space="preserve"> InpR!Q$37</f>
        <v>344.06837347852502</v>
      </c>
      <c r="R21" s="281">
        <f xml:space="preserve"> InpR!R$37</f>
        <v>354.39042468288102</v>
      </c>
    </row>
    <row r="22" spans="1:18" s="98" customFormat="1" x14ac:dyDescent="0.25">
      <c r="A22" s="69"/>
      <c r="B22" s="80"/>
      <c r="C22" s="150"/>
      <c r="D22" s="88"/>
      <c r="E22" s="281" t="str">
        <f xml:space="preserve"> InpR!E$38</f>
        <v>RPI: March - index - final determination</v>
      </c>
      <c r="F22" s="281"/>
      <c r="G22" s="281" t="str">
        <f xml:space="preserve"> InpR!G$38</f>
        <v>index</v>
      </c>
      <c r="H22" s="281" t="str">
        <f xml:space="preserve"> InpR!I$38</f>
        <v>PR19 Financial model, 'Index' sheet row 142</v>
      </c>
      <c r="I22" s="281" t="e">
        <f xml:space="preserve"> InpR!#REF!</f>
        <v>#REF!</v>
      </c>
      <c r="J22" s="281">
        <f xml:space="preserve"> InpR!J$38</f>
        <v>0</v>
      </c>
      <c r="K22" s="281">
        <f xml:space="preserve"> InpR!K$38</f>
        <v>285.10000000000002</v>
      </c>
      <c r="L22" s="281">
        <f xml:space="preserve"> InpR!L$38</f>
        <v>296.13766811902099</v>
      </c>
      <c r="M22" s="281">
        <f xml:space="preserve"> InpR!M$38</f>
        <v>304.57748375597498</v>
      </c>
      <c r="N22" s="281">
        <f xml:space="preserve"> InpR!N$38</f>
        <v>313.86698624610801</v>
      </c>
      <c r="O22" s="281">
        <f xml:space="preserve"> InpR!O$38</f>
        <v>323.91072980598301</v>
      </c>
      <c r="P22" s="281">
        <f xml:space="preserve"> InpR!P$38</f>
        <v>334.27587315977502</v>
      </c>
      <c r="Q22" s="281">
        <f xml:space="preserve"> InpR!Q$38</f>
        <v>344.972701100888</v>
      </c>
      <c r="R22" s="281">
        <f xml:space="preserve"> InpR!R$38</f>
        <v>355.32188213391402</v>
      </c>
    </row>
    <row r="23" spans="1:18" s="98" customFormat="1" x14ac:dyDescent="0.25">
      <c r="A23" s="68"/>
      <c r="B23" s="80"/>
      <c r="C23" s="150"/>
      <c r="D23" s="88"/>
      <c r="E23" s="127"/>
      <c r="F23" s="127"/>
      <c r="G23" s="127"/>
      <c r="H23" s="127"/>
      <c r="I23" s="127"/>
      <c r="J23" s="127"/>
      <c r="K23" s="127"/>
      <c r="L23" s="127"/>
      <c r="M23" s="127"/>
      <c r="N23" s="127"/>
      <c r="O23" s="127"/>
      <c r="P23" s="127"/>
      <c r="Q23" s="127"/>
      <c r="R23" s="127"/>
    </row>
    <row r="24" spans="1:18" s="98" customFormat="1" x14ac:dyDescent="0.25">
      <c r="A24" s="69"/>
      <c r="B24" s="80"/>
      <c r="C24" s="150"/>
      <c r="D24" s="74"/>
      <c r="E24" s="125" t="s">
        <v>236</v>
      </c>
      <c r="F24" s="125"/>
      <c r="G24" s="125" t="s">
        <v>188</v>
      </c>
      <c r="H24" s="56"/>
      <c r="I24" s="60"/>
      <c r="J24" s="125">
        <f xml:space="preserve"> SUM(J11:J22) / 12</f>
        <v>0</v>
      </c>
      <c r="K24" s="125">
        <f t="shared" ref="K24:R24" si="0" xml:space="preserve"> SUM(K11:K22) / 12</f>
        <v>283.30833333333334</v>
      </c>
      <c r="L24" s="125">
        <f t="shared" si="0"/>
        <v>292.23881848055777</v>
      </c>
      <c r="M24" s="125">
        <f t="shared" si="0"/>
        <v>300.63476148772367</v>
      </c>
      <c r="N24" s="125">
        <f t="shared" si="0"/>
        <v>309.52983719330018</v>
      </c>
      <c r="O24" s="125">
        <f t="shared" si="0"/>
        <v>319.28116714708784</v>
      </c>
      <c r="P24" s="125">
        <f t="shared" si="0"/>
        <v>329.49816449579487</v>
      </c>
      <c r="Q24" s="125">
        <f t="shared" si="0"/>
        <v>340.04210575966027</v>
      </c>
      <c r="R24" s="125">
        <f t="shared" si="0"/>
        <v>350.24336893245004</v>
      </c>
    </row>
    <row r="25" spans="1:18" s="98" customFormat="1" x14ac:dyDescent="0.25">
      <c r="A25" s="69"/>
      <c r="B25" s="80"/>
      <c r="C25" s="150"/>
      <c r="D25" s="74"/>
      <c r="E25" s="125" t="s">
        <v>237</v>
      </c>
      <c r="F25" s="56"/>
      <c r="G25" s="125" t="s">
        <v>94</v>
      </c>
      <c r="H25" s="56"/>
      <c r="I25" s="56"/>
      <c r="J25" s="282">
        <f xml:space="preserve"> IF(I$24 = 0, 0, J$24 / I$24 - 1)</f>
        <v>0</v>
      </c>
      <c r="K25" s="282">
        <f t="shared" ref="K25:R25" si="1" xml:space="preserve"> IF(J$24 = 0, 0, K$24 / J$24 - 1)</f>
        <v>0</v>
      </c>
      <c r="L25" s="282">
        <f t="shared" si="1"/>
        <v>3.1522140708501789E-2</v>
      </c>
      <c r="M25" s="282">
        <f t="shared" si="1"/>
        <v>2.8729732247136264E-2</v>
      </c>
      <c r="N25" s="282">
        <f t="shared" si="1"/>
        <v>2.9587648685595269E-2</v>
      </c>
      <c r="O25" s="282">
        <f t="shared" si="1"/>
        <v>3.150368327076003E-2</v>
      </c>
      <c r="P25" s="282">
        <f t="shared" si="1"/>
        <v>3.2000000000000695E-2</v>
      </c>
      <c r="Q25" s="282">
        <f t="shared" si="1"/>
        <v>3.1999999999999806E-2</v>
      </c>
      <c r="R25" s="282">
        <f t="shared" si="1"/>
        <v>2.9999999999999805E-2</v>
      </c>
    </row>
    <row r="26" spans="1:18" s="98" customFormat="1" x14ac:dyDescent="0.25">
      <c r="A26" s="69"/>
      <c r="B26" s="80"/>
      <c r="C26" s="150"/>
      <c r="D26" s="74"/>
      <c r="E26" s="125"/>
      <c r="F26" s="125"/>
      <c r="G26" s="125"/>
      <c r="H26" s="125"/>
      <c r="I26" s="125"/>
      <c r="J26" s="56"/>
      <c r="K26" s="56"/>
      <c r="L26" s="56"/>
      <c r="M26" s="56"/>
      <c r="N26" s="56"/>
      <c r="O26" s="56"/>
      <c r="P26" s="56"/>
      <c r="Q26" s="56"/>
      <c r="R26" s="56"/>
    </row>
    <row r="27" spans="1:18" s="98" customFormat="1" x14ac:dyDescent="0.25">
      <c r="A27" s="69"/>
      <c r="B27" s="80"/>
      <c r="C27" s="150"/>
      <c r="D27" s="74"/>
      <c r="E27" s="125" t="str">
        <f t="shared" ref="E27:R27" si="2">E$22</f>
        <v>RPI: March - index - final determination</v>
      </c>
      <c r="F27" s="125"/>
      <c r="G27" s="125" t="str">
        <f t="shared" si="2"/>
        <v>index</v>
      </c>
      <c r="H27" s="125" t="str">
        <f t="shared" si="2"/>
        <v>PR19 Financial model, 'Index' sheet row 142</v>
      </c>
      <c r="I27" s="125" t="e">
        <f t="shared" si="2"/>
        <v>#REF!</v>
      </c>
      <c r="J27" s="125">
        <f t="shared" si="2"/>
        <v>0</v>
      </c>
      <c r="K27" s="125">
        <f t="shared" si="2"/>
        <v>285.10000000000002</v>
      </c>
      <c r="L27" s="125">
        <f t="shared" si="2"/>
        <v>296.13766811902099</v>
      </c>
      <c r="M27" s="125">
        <f t="shared" si="2"/>
        <v>304.57748375597498</v>
      </c>
      <c r="N27" s="125">
        <f t="shared" si="2"/>
        <v>313.86698624610801</v>
      </c>
      <c r="O27" s="125">
        <f t="shared" si="2"/>
        <v>323.91072980598301</v>
      </c>
      <c r="P27" s="125">
        <f t="shared" si="2"/>
        <v>334.27587315977502</v>
      </c>
      <c r="Q27" s="125">
        <f t="shared" si="2"/>
        <v>344.972701100888</v>
      </c>
      <c r="R27" s="125">
        <f t="shared" si="2"/>
        <v>355.32188213391402</v>
      </c>
    </row>
    <row r="28" spans="1:18" s="98" customFormat="1" x14ac:dyDescent="0.25">
      <c r="A28" s="13"/>
      <c r="B28" s="58"/>
      <c r="C28" s="151"/>
      <c r="D28" s="57"/>
      <c r="E28" s="207" t="str">
        <f>E$24</f>
        <v>RPI: Financial year average - index - final determination</v>
      </c>
      <c r="F28" s="56"/>
      <c r="G28" s="125" t="str">
        <f t="shared" ref="G28:R28" si="3">G$24</f>
        <v>index</v>
      </c>
      <c r="H28" s="125">
        <f t="shared" si="3"/>
        <v>0</v>
      </c>
      <c r="I28" s="125">
        <f t="shared" si="3"/>
        <v>0</v>
      </c>
      <c r="J28" s="125">
        <f t="shared" si="3"/>
        <v>0</v>
      </c>
      <c r="K28" s="125">
        <f t="shared" si="3"/>
        <v>283.30833333333334</v>
      </c>
      <c r="L28" s="125">
        <f t="shared" si="3"/>
        <v>292.23881848055777</v>
      </c>
      <c r="M28" s="125">
        <f t="shared" si="3"/>
        <v>300.63476148772367</v>
      </c>
      <c r="N28" s="125">
        <f t="shared" si="3"/>
        <v>309.52983719330018</v>
      </c>
      <c r="O28" s="125">
        <f t="shared" si="3"/>
        <v>319.28116714708784</v>
      </c>
      <c r="P28" s="125">
        <f t="shared" si="3"/>
        <v>329.49816449579487</v>
      </c>
      <c r="Q28" s="125">
        <f t="shared" si="3"/>
        <v>340.04210575966027</v>
      </c>
      <c r="R28" s="125">
        <f t="shared" si="3"/>
        <v>350.24336893245004</v>
      </c>
    </row>
    <row r="29" spans="1:18" s="98" customFormat="1" x14ac:dyDescent="0.25">
      <c r="A29" s="69"/>
      <c r="B29" s="283"/>
      <c r="C29" s="283"/>
      <c r="D29" s="283"/>
      <c r="E29" s="284" t="str">
        <f>Time!E$46</f>
        <v>1st Forecast Period Flag</v>
      </c>
      <c r="F29" s="284"/>
      <c r="G29" s="284" t="str">
        <f>Time!G$46</f>
        <v>flag</v>
      </c>
      <c r="H29" s="284">
        <f>Time!H$46</f>
        <v>1</v>
      </c>
      <c r="I29" s="284">
        <f>Time!I$46</f>
        <v>0</v>
      </c>
      <c r="J29" s="284">
        <f>Time!J$46</f>
        <v>0</v>
      </c>
      <c r="K29" s="284">
        <f>Time!K$46</f>
        <v>0</v>
      </c>
      <c r="L29" s="284">
        <f>Time!L$46</f>
        <v>0</v>
      </c>
      <c r="M29" s="284">
        <f>Time!M$46</f>
        <v>1</v>
      </c>
      <c r="N29" s="284">
        <f>Time!N$46</f>
        <v>0</v>
      </c>
      <c r="O29" s="284">
        <f>Time!O$46</f>
        <v>0</v>
      </c>
      <c r="P29" s="284">
        <f>Time!P$46</f>
        <v>0</v>
      </c>
      <c r="Q29" s="284">
        <f>Time!Q$46</f>
        <v>0</v>
      </c>
      <c r="R29" s="284">
        <f>Time!R$46</f>
        <v>0</v>
      </c>
    </row>
    <row r="30" spans="1:18" s="98" customFormat="1" x14ac:dyDescent="0.25">
      <c r="A30" s="69"/>
      <c r="B30" s="80"/>
      <c r="C30" s="150"/>
      <c r="D30" s="74"/>
      <c r="E30" s="207" t="s">
        <v>238</v>
      </c>
      <c r="F30" s="56"/>
      <c r="G30" s="125" t="s">
        <v>94</v>
      </c>
      <c r="H30" s="56"/>
      <c r="I30" s="56"/>
      <c r="J30" s="282">
        <f xml:space="preserve"> IFERROR((J28 / I27 - 1) * J29, 0)</f>
        <v>0</v>
      </c>
      <c r="K30" s="282">
        <f t="shared" ref="K30:R30" si="4" xml:space="preserve"> IFERROR((K28 / J27 - 1) * K29, 0)</f>
        <v>0</v>
      </c>
      <c r="L30" s="282">
        <f t="shared" si="4"/>
        <v>0</v>
      </c>
      <c r="M30" s="282">
        <f xml:space="preserve"> IFERROR((M28 / L27 - 1) * M29, 0)</f>
        <v>1.5185820153399865E-2</v>
      </c>
      <c r="N30" s="282">
        <f t="shared" si="4"/>
        <v>0</v>
      </c>
      <c r="O30" s="282">
        <f t="shared" si="4"/>
        <v>0</v>
      </c>
      <c r="P30" s="282">
        <f t="shared" si="4"/>
        <v>0</v>
      </c>
      <c r="Q30" s="282">
        <f t="shared" si="4"/>
        <v>0</v>
      </c>
      <c r="R30" s="282">
        <f t="shared" si="4"/>
        <v>0</v>
      </c>
    </row>
    <row r="31" spans="1:18" s="98" customFormat="1" x14ac:dyDescent="0.25">
      <c r="A31" s="68"/>
      <c r="B31" s="80"/>
      <c r="C31" s="150"/>
      <c r="D31" s="88"/>
      <c r="E31" s="127"/>
      <c r="F31" s="127"/>
      <c r="G31" s="127"/>
      <c r="H31" s="127"/>
      <c r="I31" s="127"/>
      <c r="J31" s="127"/>
      <c r="K31" s="127"/>
      <c r="L31" s="127"/>
      <c r="M31" s="127"/>
      <c r="N31" s="127"/>
      <c r="O31" s="127"/>
      <c r="P31" s="127"/>
      <c r="Q31" s="127"/>
      <c r="R31" s="127"/>
    </row>
    <row r="32" spans="1:18" s="98" customFormat="1" x14ac:dyDescent="0.25">
      <c r="A32" s="69"/>
      <c r="B32" s="80" t="s">
        <v>183</v>
      </c>
      <c r="C32" s="150"/>
      <c r="D32" s="88"/>
      <c r="E32" s="127"/>
      <c r="F32" s="127"/>
      <c r="G32" s="127"/>
      <c r="H32" s="127"/>
      <c r="I32" s="127"/>
      <c r="J32" s="127"/>
      <c r="K32" s="127"/>
      <c r="L32" s="127"/>
      <c r="M32" s="127"/>
      <c r="N32" s="127"/>
      <c r="O32" s="127"/>
      <c r="P32" s="127"/>
      <c r="Q32" s="127"/>
      <c r="R32" s="127"/>
    </row>
    <row r="33" spans="1:18" s="98" customFormat="1" x14ac:dyDescent="0.25">
      <c r="A33" s="69"/>
      <c r="B33" s="80"/>
      <c r="C33" s="150"/>
      <c r="D33" s="88"/>
      <c r="E33" s="281" t="str">
        <f>InpR!E$41</f>
        <v>CPI(H): April - index - final determination</v>
      </c>
      <c r="F33" s="281"/>
      <c r="G33" s="281" t="str">
        <f>InpR!G$41</f>
        <v>index</v>
      </c>
      <c r="H33" s="281" t="str">
        <f>InpR!I$41</f>
        <v>PR19 Financial model, 'Index' sheet F59 and 'Index' sheet row 10</v>
      </c>
      <c r="I33" s="281" t="e">
        <f>InpR!#REF!</f>
        <v>#REF!</v>
      </c>
      <c r="J33" s="281">
        <f>InpR!J$41</f>
        <v>103.2</v>
      </c>
      <c r="K33" s="281">
        <f>InpR!K$41</f>
        <v>105.5</v>
      </c>
      <c r="L33" s="281">
        <f>InpR!L$41</f>
        <v>107.6</v>
      </c>
      <c r="M33" s="281">
        <f>InpR!M$41</f>
        <v>109.703354739972</v>
      </c>
      <c r="N33" s="281">
        <f>InpR!N$41</f>
        <v>111.897421834771</v>
      </c>
      <c r="O33" s="281">
        <f>InpR!O$41</f>
        <v>114.172657229451</v>
      </c>
      <c r="P33" s="281">
        <f>InpR!P$41</f>
        <v>116.57028303126999</v>
      </c>
      <c r="Q33" s="281">
        <f>InpR!Q$41</f>
        <v>119.01825897492699</v>
      </c>
      <c r="R33" s="281">
        <f>InpR!R$41</f>
        <v>121.39862415442499</v>
      </c>
    </row>
    <row r="34" spans="1:18" s="98" customFormat="1" x14ac:dyDescent="0.25">
      <c r="A34" s="69"/>
      <c r="B34" s="80"/>
      <c r="C34" s="150"/>
      <c r="D34" s="88"/>
      <c r="E34" s="281" t="str">
        <f>InpR!E$42</f>
        <v>CPI(H): May - index - final determination</v>
      </c>
      <c r="F34" s="281"/>
      <c r="G34" s="281" t="str">
        <f>InpR!G$42</f>
        <v>index</v>
      </c>
      <c r="H34" s="281" t="str">
        <f>InpR!I$42</f>
        <v>PR19 Financial model, 'Index' sheet F60 and 'Index' sheet row 11</v>
      </c>
      <c r="I34" s="281" t="e">
        <f>InpR!#REF!</f>
        <v>#REF!</v>
      </c>
      <c r="J34" s="281">
        <f>InpR!J$42</f>
        <v>103.5</v>
      </c>
      <c r="K34" s="281">
        <f>InpR!K$42</f>
        <v>105.9</v>
      </c>
      <c r="L34" s="281">
        <f>InpR!L$42</f>
        <v>107.9</v>
      </c>
      <c r="M34" s="281">
        <f>InpR!M$42</f>
        <v>109.884538749418</v>
      </c>
      <c r="N34" s="281">
        <f>InpR!N$42</f>
        <v>112.082229524407</v>
      </c>
      <c r="O34" s="281">
        <f>InpR!O$42</f>
        <v>114.370561696745</v>
      </c>
      <c r="P34" s="281">
        <f>InpR!P$42</f>
        <v>116.772343492377</v>
      </c>
      <c r="Q34" s="281">
        <f>InpR!Q$42</f>
        <v>119.22456270571701</v>
      </c>
      <c r="R34" s="281">
        <f>InpR!R$42</f>
        <v>121.609053959831</v>
      </c>
    </row>
    <row r="35" spans="1:18" s="98" customFormat="1" x14ac:dyDescent="0.25">
      <c r="A35" s="69"/>
      <c r="B35" s="80"/>
      <c r="C35" s="150"/>
      <c r="D35" s="88"/>
      <c r="E35" s="281" t="str">
        <f>InpR!E$43</f>
        <v>CPI(H): June - index - final determination</v>
      </c>
      <c r="F35" s="281"/>
      <c r="G35" s="281" t="str">
        <f>InpR!G$43</f>
        <v>index</v>
      </c>
      <c r="H35" s="281" t="str">
        <f>InpR!I$43</f>
        <v>PR19 Financial model, 'Index' sheet F61 and 'Index' sheet row 12</v>
      </c>
      <c r="I35" s="281" t="e">
        <f>InpR!#REF!</f>
        <v>#REF!</v>
      </c>
      <c r="J35" s="281">
        <f>InpR!J$43</f>
        <v>103.5</v>
      </c>
      <c r="K35" s="281">
        <f>InpR!K$43</f>
        <v>105.9</v>
      </c>
      <c r="L35" s="281">
        <f>InpR!L$43</f>
        <v>107.9</v>
      </c>
      <c r="M35" s="281">
        <f>InpR!M$43</f>
        <v>110.066021998987</v>
      </c>
      <c r="N35" s="281">
        <f>InpR!N$43</f>
        <v>112.26734243896701</v>
      </c>
      <c r="O35" s="281">
        <f>InpR!O$43</f>
        <v>114.568809207453</v>
      </c>
      <c r="P35" s="281">
        <f>InpR!P$43</f>
        <v>116.97475420081</v>
      </c>
      <c r="Q35" s="281">
        <f>InpR!Q$43</f>
        <v>119.431224039027</v>
      </c>
      <c r="R35" s="281">
        <f>InpR!R$43</f>
        <v>121.819848519807</v>
      </c>
    </row>
    <row r="36" spans="1:18" s="98" customFormat="1" x14ac:dyDescent="0.25">
      <c r="A36" s="69"/>
      <c r="B36" s="80"/>
      <c r="C36" s="150"/>
      <c r="D36" s="88"/>
      <c r="E36" s="281" t="str">
        <f>InpR!E$44</f>
        <v>CPI(H): July - index - final determination</v>
      </c>
      <c r="F36" s="281"/>
      <c r="G36" s="281" t="str">
        <f>InpR!G$44</f>
        <v>index</v>
      </c>
      <c r="H36" s="281" t="str">
        <f>InpR!I$44</f>
        <v>PR19 Financial model, 'Index' sheet F62 and 'Index' sheet row 13</v>
      </c>
      <c r="I36" s="281" t="e">
        <f>InpR!#REF!</f>
        <v>#REF!</v>
      </c>
      <c r="J36" s="281">
        <f>InpR!J$44</f>
        <v>103.5</v>
      </c>
      <c r="K36" s="281">
        <f>InpR!K$44</f>
        <v>105.9</v>
      </c>
      <c r="L36" s="281">
        <f>InpR!L$44</f>
        <v>108</v>
      </c>
      <c r="M36" s="281">
        <f>InpR!M$44</f>
        <v>110.24780498289699</v>
      </c>
      <c r="N36" s="281">
        <f>InpR!N$44</f>
        <v>112.452761082555</v>
      </c>
      <c r="O36" s="281">
        <f>InpR!O$44</f>
        <v>114.7674003562</v>
      </c>
      <c r="P36" s="281">
        <f>InpR!P$44</f>
        <v>117.17751576368001</v>
      </c>
      <c r="Q36" s="281">
        <f>InpR!Q$44</f>
        <v>119.638243594717</v>
      </c>
      <c r="R36" s="281">
        <f>InpR!R$44</f>
        <v>122.03100846661199</v>
      </c>
    </row>
    <row r="37" spans="1:18" s="98" customFormat="1" x14ac:dyDescent="0.25">
      <c r="A37" s="69"/>
      <c r="B37" s="80"/>
      <c r="C37" s="150"/>
      <c r="D37" s="88"/>
      <c r="E37" s="281" t="str">
        <f>InpR!E$45</f>
        <v>CPI(H): August - index - final determination</v>
      </c>
      <c r="F37" s="281"/>
      <c r="G37" s="281" t="str">
        <f>InpR!G$45</f>
        <v>index</v>
      </c>
      <c r="H37" s="281" t="str">
        <f>InpR!I$45</f>
        <v>PR19 Financial model, 'Index' sheet F63 and 'Index' sheet row 14</v>
      </c>
      <c r="I37" s="281" t="e">
        <f>InpR!#REF!</f>
        <v>#REF!</v>
      </c>
      <c r="J37" s="281">
        <f>InpR!J$45</f>
        <v>104</v>
      </c>
      <c r="K37" s="281">
        <f>InpR!K$45</f>
        <v>106.5</v>
      </c>
      <c r="L37" s="281">
        <f>InpR!L$45</f>
        <v>108.3</v>
      </c>
      <c r="M37" s="281">
        <f>InpR!M$45</f>
        <v>110.429888196185</v>
      </c>
      <c r="N37" s="281">
        <f>InpR!N$45</f>
        <v>112.638485960108</v>
      </c>
      <c r="O37" s="281">
        <f>InpR!O$45</f>
        <v>114.96633573864</v>
      </c>
      <c r="P37" s="281">
        <f>InpR!P$45</f>
        <v>117.380628789151</v>
      </c>
      <c r="Q37" s="281">
        <f>InpR!Q$45</f>
        <v>119.845621993724</v>
      </c>
      <c r="R37" s="281">
        <f>InpR!R$45</f>
        <v>122.242534433598</v>
      </c>
    </row>
    <row r="38" spans="1:18" s="98" customFormat="1" x14ac:dyDescent="0.25">
      <c r="A38" s="69"/>
      <c r="B38" s="80"/>
      <c r="C38" s="150"/>
      <c r="D38" s="88"/>
      <c r="E38" s="281" t="str">
        <f>InpR!E$46</f>
        <v>CPI(H): September - index - final determination</v>
      </c>
      <c r="F38" s="281"/>
      <c r="G38" s="281" t="str">
        <f>InpR!G$46</f>
        <v>index</v>
      </c>
      <c r="H38" s="281" t="str">
        <f>InpR!I$46</f>
        <v>PR19 Financial model, 'Index' sheet F64 and 'Index' sheet row 15</v>
      </c>
      <c r="I38" s="281" t="e">
        <f>InpR!#REF!</f>
        <v>#REF!</v>
      </c>
      <c r="J38" s="281">
        <f>InpR!J$46</f>
        <v>104.3</v>
      </c>
      <c r="K38" s="281">
        <f>InpR!K$46</f>
        <v>106.6</v>
      </c>
      <c r="L38" s="281">
        <f>InpR!L$46</f>
        <v>108.469999617629</v>
      </c>
      <c r="M38" s="281">
        <f>InpR!M$46</f>
        <v>110.61227213470301</v>
      </c>
      <c r="N38" s="281">
        <f>InpR!N$46</f>
        <v>112.824517577397</v>
      </c>
      <c r="O38" s="281">
        <f>InpR!O$46</f>
        <v>115.16561595146101</v>
      </c>
      <c r="P38" s="281">
        <f>InpR!P$46</f>
        <v>117.58409388644201</v>
      </c>
      <c r="Q38" s="281">
        <f>InpR!Q$46</f>
        <v>120.05335985805699</v>
      </c>
      <c r="R38" s="281">
        <f>InpR!R$46</f>
        <v>122.45442705521801</v>
      </c>
    </row>
    <row r="39" spans="1:18" s="98" customFormat="1" x14ac:dyDescent="0.25">
      <c r="A39" s="69"/>
      <c r="B39" s="80"/>
      <c r="C39" s="150"/>
      <c r="D39" s="88"/>
      <c r="E39" s="281" t="str">
        <f>InpR!E$47</f>
        <v>CPI(H): October - index - final determination</v>
      </c>
      <c r="F39" s="281"/>
      <c r="G39" s="281" t="str">
        <f>InpR!G$47</f>
        <v>index</v>
      </c>
      <c r="H39" s="281" t="str">
        <f>InpR!I$47</f>
        <v>PR19 Financial model, 'Index' sheet F65 and 'Index' sheet row 16</v>
      </c>
      <c r="I39" s="281" t="e">
        <f>InpR!#REF!</f>
        <v>#REF!</v>
      </c>
      <c r="J39" s="281">
        <f>InpR!J$47</f>
        <v>104.4</v>
      </c>
      <c r="K39" s="281">
        <f>InpR!K$47</f>
        <v>106.7</v>
      </c>
      <c r="L39" s="281">
        <f>InpR!L$47</f>
        <v>108.64026608539599</v>
      </c>
      <c r="M39" s="281">
        <f>InpR!M$47</f>
        <v>110.794957295123</v>
      </c>
      <c r="N39" s="281">
        <f>InpR!N$47</f>
        <v>113.01085644102599</v>
      </c>
      <c r="O39" s="281">
        <f>InpR!O$47</f>
        <v>115.365241592385</v>
      </c>
      <c r="P39" s="281">
        <f>InpR!P$47</f>
        <v>117.78791166582501</v>
      </c>
      <c r="Q39" s="281">
        <f>InpR!Q$47</f>
        <v>120.261457810807</v>
      </c>
      <c r="R39" s="281">
        <f>InpR!R$47</f>
        <v>122.66668696702401</v>
      </c>
    </row>
    <row r="40" spans="1:18" s="98" customFormat="1" x14ac:dyDescent="0.25">
      <c r="A40" s="69"/>
      <c r="B40" s="80"/>
      <c r="C40" s="150"/>
      <c r="D40" s="88"/>
      <c r="E40" s="281" t="str">
        <f>InpR!E$48</f>
        <v>CPI(H): November - index - final determination</v>
      </c>
      <c r="F40" s="281"/>
      <c r="G40" s="281" t="str">
        <f>InpR!G$48</f>
        <v>index</v>
      </c>
      <c r="H40" s="281" t="str">
        <f>InpR!I$48</f>
        <v>PR19 Financial model, 'Index' sheet F66 and 'Index' sheet row 17</v>
      </c>
      <c r="I40" s="281" t="e">
        <f>InpR!#REF!</f>
        <v>#REF!</v>
      </c>
      <c r="J40" s="281">
        <f>InpR!J$48</f>
        <v>104.7</v>
      </c>
      <c r="K40" s="281">
        <f>InpR!K$48</f>
        <v>106.9</v>
      </c>
      <c r="L40" s="281">
        <f>InpR!L$48</f>
        <v>108.81079982217901</v>
      </c>
      <c r="M40" s="281">
        <f>InpR!M$48</f>
        <v>110.977944174939</v>
      </c>
      <c r="N40" s="281">
        <f>InpR!N$48</f>
        <v>113.197503058438</v>
      </c>
      <c r="O40" s="281">
        <f>InpR!O$48</f>
        <v>115.565213260169</v>
      </c>
      <c r="P40" s="281">
        <f>InpR!P$48</f>
        <v>117.992082738633</v>
      </c>
      <c r="Q40" s="281">
        <f>InpR!Q$48</f>
        <v>120.46991647614399</v>
      </c>
      <c r="R40" s="281">
        <f>InpR!R$48</f>
        <v>122.87931480566699</v>
      </c>
    </row>
    <row r="41" spans="1:18" s="98" customFormat="1" x14ac:dyDescent="0.25">
      <c r="A41" s="69"/>
      <c r="B41" s="80"/>
      <c r="C41" s="150"/>
      <c r="D41" s="88"/>
      <c r="E41" s="281" t="str">
        <f>InpR!E$49</f>
        <v>CPI(H): December - index - final determination</v>
      </c>
      <c r="F41" s="281"/>
      <c r="G41" s="281" t="str">
        <f>InpR!G$49</f>
        <v>index</v>
      </c>
      <c r="H41" s="281" t="str">
        <f>InpR!I$49</f>
        <v>PR19 Financial model, 'Index' sheet F67 and 'Index' sheet row 18</v>
      </c>
      <c r="I41" s="281" t="e">
        <f>InpR!#REF!</f>
        <v>#REF!</v>
      </c>
      <c r="J41" s="281">
        <f>InpR!J$49</f>
        <v>105</v>
      </c>
      <c r="K41" s="281">
        <f>InpR!K$49</f>
        <v>107.1</v>
      </c>
      <c r="L41" s="281">
        <f>InpR!L$49</f>
        <v>108.981601247513</v>
      </c>
      <c r="M41" s="281">
        <f>InpR!M$49</f>
        <v>111.161233272464</v>
      </c>
      <c r="N41" s="281">
        <f>InpR!N$49</f>
        <v>113.384457937913</v>
      </c>
      <c r="O41" s="281">
        <f>InpR!O$49</f>
        <v>115.765531554609</v>
      </c>
      <c r="P41" s="281">
        <f>InpR!P$49</f>
        <v>118.196607717256</v>
      </c>
      <c r="Q41" s="281">
        <f>InpR!Q$49</f>
        <v>120.678736479319</v>
      </c>
      <c r="R41" s="281">
        <f>InpR!R$49</f>
        <v>123.092311208905</v>
      </c>
    </row>
    <row r="42" spans="1:18" s="98" customFormat="1" x14ac:dyDescent="0.25">
      <c r="A42" s="69"/>
      <c r="B42" s="80"/>
      <c r="C42" s="150"/>
      <c r="D42" s="88"/>
      <c r="E42" s="281" t="str">
        <f>InpR!E$50</f>
        <v>CPI(H): January - index - final determination</v>
      </c>
      <c r="F42" s="281"/>
      <c r="G42" s="281" t="str">
        <f>InpR!G$50</f>
        <v>index</v>
      </c>
      <c r="H42" s="281" t="str">
        <f>InpR!I$50</f>
        <v>PR19 Financial model, 'Index' sheet F68 and 'Index' sheet row 19</v>
      </c>
      <c r="I42" s="281" t="e">
        <f>InpR!#REF!</f>
        <v>#REF!</v>
      </c>
      <c r="J42" s="281">
        <f>InpR!J$50</f>
        <v>104.5</v>
      </c>
      <c r="K42" s="281">
        <f>InpR!K$50</f>
        <v>106.4</v>
      </c>
      <c r="L42" s="281">
        <f>InpR!L$50</f>
        <v>109.161593222387</v>
      </c>
      <c r="M42" s="281">
        <f>InpR!M$50</f>
        <v>111.344825086835</v>
      </c>
      <c r="N42" s="281">
        <f>InpR!N$50</f>
        <v>113.580996157239</v>
      </c>
      <c r="O42" s="281">
        <f>InpR!O$50</f>
        <v>115.96619707654099</v>
      </c>
      <c r="P42" s="281">
        <f>InpR!P$50</f>
        <v>118.40148721514799</v>
      </c>
      <c r="Q42" s="281">
        <f>InpR!Q$50</f>
        <v>120.887918446667</v>
      </c>
      <c r="R42" s="281">
        <f>InpR!R$50</f>
        <v>123.30567681559999</v>
      </c>
    </row>
    <row r="43" spans="1:18" s="98" customFormat="1" x14ac:dyDescent="0.25">
      <c r="A43" s="69"/>
      <c r="B43" s="80"/>
      <c r="C43" s="150"/>
      <c r="D43" s="88"/>
      <c r="E43" s="281" t="str">
        <f>InpR!E$51</f>
        <v>CPI(H): February - index - final determination</v>
      </c>
      <c r="F43" s="281"/>
      <c r="G43" s="281" t="str">
        <f>InpR!G$51</f>
        <v>index</v>
      </c>
      <c r="H43" s="281" t="str">
        <f>InpR!I$51</f>
        <v>PR19 Financial model, 'Index' sheet F69 and 'Index' sheet row 20</v>
      </c>
      <c r="I43" s="281" t="e">
        <f>InpR!#REF!</f>
        <v>#REF!</v>
      </c>
      <c r="J43" s="281">
        <f>InpR!J$51</f>
        <v>104.9</v>
      </c>
      <c r="K43" s="281">
        <f>InpR!K$51</f>
        <v>106.8</v>
      </c>
      <c r="L43" s="281">
        <f>InpR!L$51</f>
        <v>109.341882468641</v>
      </c>
      <c r="M43" s="281">
        <f>InpR!M$51</f>
        <v>111.52872011801399</v>
      </c>
      <c r="N43" s="281">
        <f>InpR!N$51</f>
        <v>113.77787505175399</v>
      </c>
      <c r="O43" s="281">
        <f>InpR!O$51</f>
        <v>116.167210427841</v>
      </c>
      <c r="P43" s="281">
        <f>InpR!P$51</f>
        <v>118.606721846825</v>
      </c>
      <c r="Q43" s="281">
        <f>InpR!Q$51</f>
        <v>121.097463005609</v>
      </c>
      <c r="R43" s="281">
        <f>InpR!R$51</f>
        <v>123.519412265721</v>
      </c>
    </row>
    <row r="44" spans="1:18" s="98" customFormat="1" x14ac:dyDescent="0.25">
      <c r="A44" s="69"/>
      <c r="B44" s="80"/>
      <c r="C44" s="150"/>
      <c r="D44" s="88"/>
      <c r="E44" s="281" t="str">
        <f>InpR!E$52</f>
        <v>CPI(H): March - index - final determination</v>
      </c>
      <c r="F44" s="281"/>
      <c r="G44" s="281" t="str">
        <f>InpR!G$52</f>
        <v>index</v>
      </c>
      <c r="H44" s="281" t="str">
        <f>InpR!I$52</f>
        <v>PR19 Financial model, 'Index' sheet F70 and 'Index' sheet row 21</v>
      </c>
      <c r="I44" s="281" t="e">
        <f>InpR!#REF!</f>
        <v>#REF!</v>
      </c>
      <c r="J44" s="281">
        <f>InpR!J$52</f>
        <v>105.1</v>
      </c>
      <c r="K44" s="281">
        <f>InpR!K$52</f>
        <v>107</v>
      </c>
      <c r="L44" s="281">
        <f>InpR!L$52</f>
        <v>109.52246947724301</v>
      </c>
      <c r="M44" s="281">
        <f>InpR!M$52</f>
        <v>111.712918866788</v>
      </c>
      <c r="N44" s="281">
        <f>InpR!N$52</f>
        <v>113.97509521197701</v>
      </c>
      <c r="O44" s="281">
        <f>InpR!O$52</f>
        <v>116.368572211429</v>
      </c>
      <c r="P44" s="281">
        <f>InpR!P$52</f>
        <v>118.812312227869</v>
      </c>
      <c r="Q44" s="281">
        <f>InpR!Q$52</f>
        <v>121.307370784654</v>
      </c>
      <c r="R44" s="281">
        <f>InpR!R$52</f>
        <v>123.73351820034701</v>
      </c>
    </row>
    <row r="45" spans="1:18" s="98" customFormat="1" x14ac:dyDescent="0.25">
      <c r="A45" s="69"/>
      <c r="B45" s="80"/>
      <c r="C45" s="150"/>
      <c r="D45" s="88"/>
      <c r="E45" s="281"/>
      <c r="F45" s="281"/>
      <c r="G45" s="281"/>
      <c r="H45" s="281"/>
      <c r="I45" s="281"/>
      <c r="J45" s="281"/>
      <c r="K45" s="281"/>
      <c r="L45" s="281"/>
      <c r="M45" s="281"/>
      <c r="N45" s="281"/>
      <c r="O45" s="281"/>
      <c r="P45" s="281"/>
      <c r="Q45" s="281"/>
      <c r="R45" s="281"/>
    </row>
    <row r="46" spans="1:18" s="98" customFormat="1" x14ac:dyDescent="0.25">
      <c r="A46" s="69"/>
      <c r="B46" s="80"/>
      <c r="C46" s="150"/>
      <c r="D46" s="74"/>
      <c r="E46" s="125" t="s">
        <v>239</v>
      </c>
      <c r="F46" s="125"/>
      <c r="G46" s="125" t="s">
        <v>188</v>
      </c>
      <c r="H46" s="56"/>
      <c r="I46" s="56"/>
      <c r="J46" s="280">
        <f xml:space="preserve"> SUM(J33:J44) / 12</f>
        <v>104.21666666666665</v>
      </c>
      <c r="K46" s="280">
        <f t="shared" ref="K46:R46" si="5" xml:space="preserve"> SUM(K33:K44) / 12</f>
        <v>106.43333333333334</v>
      </c>
      <c r="L46" s="280">
        <f t="shared" si="5"/>
        <v>108.55238432841566</v>
      </c>
      <c r="M46" s="280">
        <f t="shared" si="5"/>
        <v>110.70537330136041</v>
      </c>
      <c r="N46" s="280">
        <f t="shared" si="5"/>
        <v>112.92412852304601</v>
      </c>
      <c r="O46" s="280">
        <f t="shared" si="5"/>
        <v>115.26744552524366</v>
      </c>
      <c r="P46" s="280">
        <f t="shared" si="5"/>
        <v>117.68806188127384</v>
      </c>
      <c r="Q46" s="280">
        <f t="shared" si="5"/>
        <v>120.15951118078074</v>
      </c>
      <c r="R46" s="280">
        <f t="shared" si="5"/>
        <v>122.56270140439625</v>
      </c>
    </row>
    <row r="47" spans="1:18" s="98" customFormat="1" x14ac:dyDescent="0.25">
      <c r="A47" s="69"/>
      <c r="B47" s="80"/>
      <c r="C47" s="150"/>
      <c r="D47" s="74"/>
      <c r="E47" s="288" t="s">
        <v>240</v>
      </c>
      <c r="F47" s="288"/>
      <c r="G47" s="288" t="s">
        <v>94</v>
      </c>
      <c r="H47" s="288"/>
      <c r="I47" s="288"/>
      <c r="J47" s="289">
        <f xml:space="preserve"> IF(I$46 = 0, 0, J$46 / $J$46)</f>
        <v>0</v>
      </c>
      <c r="K47" s="289">
        <f xml:space="preserve"> IF(J$46 = 0, 0, K$46 / $J$46)</f>
        <v>1.0212697905005599</v>
      </c>
      <c r="L47" s="289">
        <f t="shared" ref="L47:R47" si="6" xml:space="preserve"> IF(K$46 = 0, 0, L$46 / $J$46)</f>
        <v>1.0416029201511179</v>
      </c>
      <c r="M47" s="289">
        <f t="shared" si="6"/>
        <v>1.0622616980779827</v>
      </c>
      <c r="N47" s="289">
        <f t="shared" si="6"/>
        <v>1.0835515290872799</v>
      </c>
      <c r="O47" s="289">
        <f t="shared" si="6"/>
        <v>1.1060365794841869</v>
      </c>
      <c r="P47" s="289">
        <f t="shared" si="6"/>
        <v>1.1292633476533553</v>
      </c>
      <c r="Q47" s="289">
        <f t="shared" si="6"/>
        <v>1.1529778779540774</v>
      </c>
      <c r="R47" s="289">
        <f t="shared" si="6"/>
        <v>1.1760374355131578</v>
      </c>
    </row>
    <row r="48" spans="1:18" s="98" customFormat="1" x14ac:dyDescent="0.25">
      <c r="A48" s="69"/>
      <c r="B48" s="80"/>
      <c r="C48" s="150"/>
      <c r="D48" s="74"/>
      <c r="E48" s="125" t="s">
        <v>241</v>
      </c>
      <c r="F48" s="56"/>
      <c r="G48" s="125" t="s">
        <v>94</v>
      </c>
      <c r="H48" s="56"/>
      <c r="I48" s="56"/>
      <c r="J48" s="282">
        <f xml:space="preserve"> IF(I$46 = 0, 0, J$46 / I$46 - 1)</f>
        <v>0</v>
      </c>
      <c r="K48" s="282">
        <f t="shared" ref="K48:R48" si="7" xml:space="preserve"> IF(J$46 = 0, 0, K$46 / J$46 - 1)</f>
        <v>2.1269790500559882E-2</v>
      </c>
      <c r="L48" s="282">
        <f t="shared" si="7"/>
        <v>1.9909655450194075E-2</v>
      </c>
      <c r="M48" s="282">
        <f t="shared" si="7"/>
        <v>1.9833640562247679E-2</v>
      </c>
      <c r="N48" s="282">
        <f t="shared" si="7"/>
        <v>2.0041983108134653E-2</v>
      </c>
      <c r="O48" s="282">
        <f t="shared" si="7"/>
        <v>2.0751251595618081E-2</v>
      </c>
      <c r="P48" s="282">
        <f t="shared" si="7"/>
        <v>2.1000000000000574E-2</v>
      </c>
      <c r="Q48" s="282">
        <f t="shared" si="7"/>
        <v>2.100000000000124E-2</v>
      </c>
      <c r="R48" s="282">
        <f t="shared" si="7"/>
        <v>1.999999999999913E-2</v>
      </c>
    </row>
    <row r="49" spans="1:18" s="98" customFormat="1" x14ac:dyDescent="0.25">
      <c r="A49" s="69"/>
      <c r="B49" s="80"/>
      <c r="C49" s="150"/>
      <c r="D49" s="74"/>
      <c r="E49" s="56"/>
      <c r="F49" s="56"/>
      <c r="G49" s="56"/>
      <c r="H49" s="56"/>
      <c r="I49" s="56"/>
      <c r="J49" s="56"/>
      <c r="K49" s="56"/>
      <c r="L49" s="56"/>
      <c r="M49" s="56"/>
      <c r="N49" s="56"/>
      <c r="O49" s="56"/>
      <c r="P49" s="56"/>
      <c r="Q49" s="56"/>
      <c r="R49" s="56"/>
    </row>
    <row r="50" spans="1:18" s="98" customFormat="1" x14ac:dyDescent="0.25">
      <c r="A50" s="69"/>
      <c r="B50" s="80"/>
      <c r="C50" s="150"/>
      <c r="D50" s="74"/>
      <c r="E50" s="125" t="str">
        <f>E$44</f>
        <v>CPI(H): March - index - final determination</v>
      </c>
      <c r="F50" s="125"/>
      <c r="G50" s="125" t="str">
        <f t="shared" ref="G50:R50" si="8">G$44</f>
        <v>index</v>
      </c>
      <c r="H50" s="125" t="str">
        <f t="shared" si="8"/>
        <v>PR19 Financial model, 'Index' sheet F70 and 'Index' sheet row 21</v>
      </c>
      <c r="I50" s="125" t="e">
        <f t="shared" si="8"/>
        <v>#REF!</v>
      </c>
      <c r="J50" s="125">
        <f t="shared" si="8"/>
        <v>105.1</v>
      </c>
      <c r="K50" s="125">
        <f t="shared" si="8"/>
        <v>107</v>
      </c>
      <c r="L50" s="125">
        <f t="shared" si="8"/>
        <v>109.52246947724301</v>
      </c>
      <c r="M50" s="125">
        <f t="shared" si="8"/>
        <v>111.712918866788</v>
      </c>
      <c r="N50" s="125">
        <f t="shared" si="8"/>
        <v>113.97509521197701</v>
      </c>
      <c r="O50" s="125">
        <f t="shared" si="8"/>
        <v>116.368572211429</v>
      </c>
      <c r="P50" s="125">
        <f t="shared" si="8"/>
        <v>118.812312227869</v>
      </c>
      <c r="Q50" s="125">
        <f t="shared" si="8"/>
        <v>121.307370784654</v>
      </c>
      <c r="R50" s="125">
        <f t="shared" si="8"/>
        <v>123.73351820034701</v>
      </c>
    </row>
    <row r="51" spans="1:18" s="98" customFormat="1" x14ac:dyDescent="0.25">
      <c r="A51" s="69"/>
      <c r="B51" s="80"/>
      <c r="C51" s="150"/>
      <c r="D51" s="74"/>
      <c r="E51" s="125" t="str">
        <f>E$46</f>
        <v>CPI(H): Financial year average - index - final determination</v>
      </c>
      <c r="F51" s="125"/>
      <c r="G51" s="125" t="str">
        <f t="shared" ref="G51:R51" si="9">G$46</f>
        <v>index</v>
      </c>
      <c r="H51" s="125">
        <f t="shared" si="9"/>
        <v>0</v>
      </c>
      <c r="I51" s="125">
        <f t="shared" si="9"/>
        <v>0</v>
      </c>
      <c r="J51" s="125">
        <f t="shared" si="9"/>
        <v>104.21666666666665</v>
      </c>
      <c r="K51" s="125">
        <f t="shared" si="9"/>
        <v>106.43333333333334</v>
      </c>
      <c r="L51" s="125">
        <f t="shared" si="9"/>
        <v>108.55238432841566</v>
      </c>
      <c r="M51" s="125">
        <f t="shared" si="9"/>
        <v>110.70537330136041</v>
      </c>
      <c r="N51" s="125">
        <f t="shared" si="9"/>
        <v>112.92412852304601</v>
      </c>
      <c r="O51" s="125">
        <f t="shared" si="9"/>
        <v>115.26744552524366</v>
      </c>
      <c r="P51" s="125">
        <f t="shared" si="9"/>
        <v>117.68806188127384</v>
      </c>
      <c r="Q51" s="125">
        <f t="shared" si="9"/>
        <v>120.15951118078074</v>
      </c>
      <c r="R51" s="125">
        <f t="shared" si="9"/>
        <v>122.56270140439625</v>
      </c>
    </row>
    <row r="52" spans="1:18" s="98" customFormat="1" x14ac:dyDescent="0.25">
      <c r="A52" s="69"/>
      <c r="B52" s="283"/>
      <c r="C52" s="283"/>
      <c r="D52" s="283"/>
      <c r="E52" s="284" t="str">
        <f>Time!E$46</f>
        <v>1st Forecast Period Flag</v>
      </c>
      <c r="F52" s="284"/>
      <c r="G52" s="284" t="str">
        <f>Time!G$46</f>
        <v>flag</v>
      </c>
      <c r="H52" s="284">
        <f>Time!H$46</f>
        <v>1</v>
      </c>
      <c r="I52" s="284">
        <f>Time!I$46</f>
        <v>0</v>
      </c>
      <c r="J52" s="284">
        <f>Time!J$46</f>
        <v>0</v>
      </c>
      <c r="K52" s="284">
        <f>Time!K$46</f>
        <v>0</v>
      </c>
      <c r="L52" s="284">
        <f>Time!L$46</f>
        <v>0</v>
      </c>
      <c r="M52" s="284">
        <f>Time!M$46</f>
        <v>1</v>
      </c>
      <c r="N52" s="284">
        <f>Time!N$46</f>
        <v>0</v>
      </c>
      <c r="O52" s="284">
        <f>Time!O$46</f>
        <v>0</v>
      </c>
      <c r="P52" s="284">
        <f>Time!P$46</f>
        <v>0</v>
      </c>
      <c r="Q52" s="284">
        <f>Time!Q$46</f>
        <v>0</v>
      </c>
      <c r="R52" s="284">
        <f>Time!R$46</f>
        <v>0</v>
      </c>
    </row>
    <row r="53" spans="1:18" s="98" customFormat="1" x14ac:dyDescent="0.25">
      <c r="A53" s="69"/>
      <c r="B53" s="80"/>
      <c r="C53" s="150"/>
      <c r="D53" s="74"/>
      <c r="E53" s="125" t="s">
        <v>242</v>
      </c>
      <c r="F53" s="56"/>
      <c r="G53" s="125" t="s">
        <v>94</v>
      </c>
      <c r="H53" s="56"/>
      <c r="I53" s="56"/>
      <c r="J53" s="282">
        <f t="shared" ref="J53:R53" si="10" xml:space="preserve"> IFERROR((J51 / I50 - 1) * J52, 0)</f>
        <v>0</v>
      </c>
      <c r="K53" s="282">
        <f t="shared" si="10"/>
        <v>0</v>
      </c>
      <c r="L53" s="282">
        <f t="shared" si="10"/>
        <v>0</v>
      </c>
      <c r="M53" s="282">
        <f xml:space="preserve"> IFERROR((M51 / L50 - 1) * M52, 0)</f>
        <v>1.0800558367278112E-2</v>
      </c>
      <c r="N53" s="282">
        <f t="shared" si="10"/>
        <v>0</v>
      </c>
      <c r="O53" s="282">
        <f t="shared" si="10"/>
        <v>0</v>
      </c>
      <c r="P53" s="282">
        <f t="shared" si="10"/>
        <v>0</v>
      </c>
      <c r="Q53" s="282">
        <f t="shared" si="10"/>
        <v>0</v>
      </c>
      <c r="R53" s="282">
        <f t="shared" si="10"/>
        <v>0</v>
      </c>
    </row>
    <row r="54" spans="1:18" s="98" customFormat="1" x14ac:dyDescent="0.25">
      <c r="A54" s="69"/>
      <c r="B54" s="80"/>
      <c r="C54" s="150"/>
      <c r="D54" s="74"/>
      <c r="E54" s="56"/>
      <c r="F54" s="56"/>
      <c r="G54" s="56"/>
      <c r="H54" s="56"/>
      <c r="I54" s="56"/>
      <c r="J54" s="56"/>
      <c r="K54" s="56"/>
      <c r="L54" s="56"/>
      <c r="M54" s="56"/>
      <c r="N54" s="56"/>
      <c r="O54" s="56"/>
      <c r="P54" s="56"/>
      <c r="Q54" s="56"/>
      <c r="R54" s="56"/>
    </row>
    <row r="55" spans="1:18" s="98" customFormat="1" x14ac:dyDescent="0.25">
      <c r="A55" s="69"/>
      <c r="B55" s="80"/>
      <c r="C55" s="150"/>
      <c r="D55" s="74"/>
      <c r="E55" s="207" t="str">
        <f>E$30 &amp; " - final determination"</f>
        <v>RPI Growth from 2019-20 FYE to 2020-21 FYA - final determination - final determination</v>
      </c>
      <c r="F55" s="56"/>
      <c r="G55" s="125" t="str">
        <f>G$30</f>
        <v>%</v>
      </c>
      <c r="H55" s="56"/>
      <c r="I55" s="56"/>
      <c r="J55" s="282">
        <f t="shared" ref="J55:R55" si="11">J$30</f>
        <v>0</v>
      </c>
      <c r="K55" s="282">
        <f t="shared" si="11"/>
        <v>0</v>
      </c>
      <c r="L55" s="282">
        <f t="shared" si="11"/>
        <v>0</v>
      </c>
      <c r="M55" s="282">
        <f t="shared" si="11"/>
        <v>1.5185820153399865E-2</v>
      </c>
      <c r="N55" s="282">
        <f t="shared" si="11"/>
        <v>0</v>
      </c>
      <c r="O55" s="282">
        <f t="shared" si="11"/>
        <v>0</v>
      </c>
      <c r="P55" s="282">
        <f t="shared" si="11"/>
        <v>0</v>
      </c>
      <c r="Q55" s="282">
        <f t="shared" si="11"/>
        <v>0</v>
      </c>
      <c r="R55" s="282">
        <f t="shared" si="11"/>
        <v>0</v>
      </c>
    </row>
    <row r="56" spans="1:18" s="98" customFormat="1" x14ac:dyDescent="0.25">
      <c r="A56" s="69"/>
      <c r="B56" s="80"/>
      <c r="C56" s="150"/>
      <c r="D56" s="74"/>
      <c r="E56" s="207" t="str">
        <f>E$53 &amp; " - final determination"</f>
        <v>CPIH Growth from 2019-20 FYE to 2020-21 FYA - final determination - final determination</v>
      </c>
      <c r="F56" s="56"/>
      <c r="G56" s="125" t="str">
        <f>G$53</f>
        <v>%</v>
      </c>
      <c r="H56" s="56"/>
      <c r="I56" s="56"/>
      <c r="J56" s="282">
        <f t="shared" ref="J56:R56" si="12">J$53</f>
        <v>0</v>
      </c>
      <c r="K56" s="282">
        <f t="shared" si="12"/>
        <v>0</v>
      </c>
      <c r="L56" s="282">
        <f t="shared" si="12"/>
        <v>0</v>
      </c>
      <c r="M56" s="282">
        <f t="shared" si="12"/>
        <v>1.0800558367278112E-2</v>
      </c>
      <c r="N56" s="282">
        <f t="shared" si="12"/>
        <v>0</v>
      </c>
      <c r="O56" s="282">
        <f t="shared" si="12"/>
        <v>0</v>
      </c>
      <c r="P56" s="282">
        <f t="shared" si="12"/>
        <v>0</v>
      </c>
      <c r="Q56" s="282">
        <f t="shared" si="12"/>
        <v>0</v>
      </c>
      <c r="R56" s="282">
        <f t="shared" si="12"/>
        <v>0</v>
      </c>
    </row>
    <row r="57" spans="1:18" s="98" customFormat="1" x14ac:dyDescent="0.25">
      <c r="A57" s="69"/>
      <c r="B57" s="80"/>
      <c r="C57" s="150"/>
      <c r="D57" s="74"/>
      <c r="E57" s="207" t="s">
        <v>243</v>
      </c>
      <c r="F57" s="56"/>
      <c r="G57" s="125" t="s">
        <v>94</v>
      </c>
      <c r="H57" s="56"/>
      <c r="I57" s="56"/>
      <c r="J57" s="282">
        <f xml:space="preserve"> (1 + J$55) / (1 + J$56) - 1</f>
        <v>0</v>
      </c>
      <c r="K57" s="282">
        <f t="shared" ref="K57:R57" si="13" xml:space="preserve"> (1 + K$55) / (1 + K$56) - 1</f>
        <v>0</v>
      </c>
      <c r="L57" s="282">
        <f t="shared" si="13"/>
        <v>0</v>
      </c>
      <c r="M57" s="282">
        <f t="shared" si="13"/>
        <v>4.3384045940824123E-3</v>
      </c>
      <c r="N57" s="282">
        <f t="shared" si="13"/>
        <v>0</v>
      </c>
      <c r="O57" s="282">
        <f t="shared" si="13"/>
        <v>0</v>
      </c>
      <c r="P57" s="282">
        <f t="shared" si="13"/>
        <v>0</v>
      </c>
      <c r="Q57" s="282">
        <f t="shared" si="13"/>
        <v>0</v>
      </c>
      <c r="R57" s="282">
        <f t="shared" si="13"/>
        <v>0</v>
      </c>
    </row>
    <row r="58" spans="1:18" s="98" customFormat="1" x14ac:dyDescent="0.25">
      <c r="A58" s="69"/>
      <c r="B58" s="80"/>
      <c r="C58" s="150"/>
      <c r="D58" s="74"/>
      <c r="E58" s="56"/>
      <c r="F58" s="56"/>
      <c r="G58" s="56"/>
      <c r="H58" s="56"/>
      <c r="I58" s="56"/>
      <c r="J58" s="285"/>
      <c r="K58" s="285"/>
      <c r="L58" s="285"/>
      <c r="M58" s="285"/>
      <c r="N58" s="285"/>
      <c r="O58" s="285"/>
      <c r="P58" s="285"/>
      <c r="Q58" s="285"/>
      <c r="R58" s="285"/>
    </row>
    <row r="59" spans="1:18" s="98" customFormat="1" x14ac:dyDescent="0.25">
      <c r="A59" s="69"/>
      <c r="B59" s="80" t="s">
        <v>244</v>
      </c>
      <c r="C59" s="150"/>
      <c r="D59" s="74"/>
      <c r="E59" s="56"/>
      <c r="F59" s="56"/>
      <c r="G59" s="56"/>
      <c r="H59" s="56"/>
      <c r="I59" s="56"/>
      <c r="J59" s="285"/>
      <c r="K59" s="285"/>
      <c r="L59" s="285"/>
      <c r="M59" s="285"/>
      <c r="N59" s="285"/>
      <c r="O59" s="285"/>
      <c r="P59" s="285"/>
      <c r="Q59" s="285"/>
      <c r="R59" s="285"/>
    </row>
    <row r="60" spans="1:18" s="98" customFormat="1" x14ac:dyDescent="0.25">
      <c r="A60" s="69"/>
      <c r="B60" s="80"/>
      <c r="C60" s="150"/>
      <c r="D60" s="74"/>
      <c r="E60" s="207" t="str">
        <f>E$57</f>
        <v>Wedge between RPI and CPIH 2020-21 - final determination</v>
      </c>
      <c r="F60" s="207"/>
      <c r="G60" s="207" t="str">
        <f t="shared" ref="G60:R60" si="14">G$57</f>
        <v>%</v>
      </c>
      <c r="H60" s="207">
        <f t="shared" si="14"/>
        <v>0</v>
      </c>
      <c r="I60" s="207">
        <f t="shared" si="14"/>
        <v>0</v>
      </c>
      <c r="J60" s="282">
        <f t="shared" si="14"/>
        <v>0</v>
      </c>
      <c r="K60" s="282">
        <f t="shared" si="14"/>
        <v>0</v>
      </c>
      <c r="L60" s="282">
        <f t="shared" si="14"/>
        <v>0</v>
      </c>
      <c r="M60" s="282">
        <f t="shared" si="14"/>
        <v>4.3384045940824123E-3</v>
      </c>
      <c r="N60" s="282">
        <f t="shared" si="14"/>
        <v>0</v>
      </c>
      <c r="O60" s="282">
        <f t="shared" si="14"/>
        <v>0</v>
      </c>
      <c r="P60" s="282">
        <f t="shared" si="14"/>
        <v>0</v>
      </c>
      <c r="Q60" s="282">
        <f t="shared" si="14"/>
        <v>0</v>
      </c>
      <c r="R60" s="282">
        <f t="shared" si="14"/>
        <v>0</v>
      </c>
    </row>
    <row r="61" spans="1:18" s="98" customFormat="1" x14ac:dyDescent="0.25">
      <c r="A61" s="69"/>
      <c r="B61" s="80"/>
      <c r="C61" s="150"/>
      <c r="D61" s="74"/>
      <c r="E61" s="207" t="str">
        <f>E$48</f>
        <v>CPI(H): Fin year average - percentage increase - final determination</v>
      </c>
      <c r="F61" s="207"/>
      <c r="G61" s="207" t="str">
        <f t="shared" ref="G61:R61" si="15">G$48</f>
        <v>%</v>
      </c>
      <c r="H61" s="207">
        <f t="shared" si="15"/>
        <v>0</v>
      </c>
      <c r="I61" s="207">
        <f t="shared" si="15"/>
        <v>0</v>
      </c>
      <c r="J61" s="282">
        <f t="shared" si="15"/>
        <v>0</v>
      </c>
      <c r="K61" s="282">
        <f t="shared" si="15"/>
        <v>2.1269790500559882E-2</v>
      </c>
      <c r="L61" s="282">
        <f t="shared" si="15"/>
        <v>1.9909655450194075E-2</v>
      </c>
      <c r="M61" s="282">
        <f t="shared" si="15"/>
        <v>1.9833640562247679E-2</v>
      </c>
      <c r="N61" s="282">
        <f t="shared" si="15"/>
        <v>2.0041983108134653E-2</v>
      </c>
      <c r="O61" s="282">
        <f t="shared" si="15"/>
        <v>2.0751251595618081E-2</v>
      </c>
      <c r="P61" s="282">
        <f t="shared" si="15"/>
        <v>2.1000000000000574E-2</v>
      </c>
      <c r="Q61" s="282">
        <f t="shared" si="15"/>
        <v>2.100000000000124E-2</v>
      </c>
      <c r="R61" s="282">
        <f t="shared" si="15"/>
        <v>1.999999999999913E-2</v>
      </c>
    </row>
    <row r="62" spans="1:18" s="98" customFormat="1" x14ac:dyDescent="0.25">
      <c r="A62" s="69"/>
      <c r="B62" s="283"/>
      <c r="C62" s="283"/>
      <c r="D62" s="283"/>
      <c r="E62" s="284" t="str">
        <f>Time!E$46</f>
        <v>1st Forecast Period Flag</v>
      </c>
      <c r="F62" s="284"/>
      <c r="G62" s="284" t="str">
        <f>Time!G$46</f>
        <v>flag</v>
      </c>
      <c r="H62" s="284">
        <f>Time!H$46</f>
        <v>1</v>
      </c>
      <c r="I62" s="284">
        <f>Time!I$46</f>
        <v>0</v>
      </c>
      <c r="J62" s="284">
        <f>Time!J$46</f>
        <v>0</v>
      </c>
      <c r="K62" s="284">
        <f>Time!K$46</f>
        <v>0</v>
      </c>
      <c r="L62" s="284">
        <f>Time!L$46</f>
        <v>0</v>
      </c>
      <c r="M62" s="284">
        <f>Time!M$46</f>
        <v>1</v>
      </c>
      <c r="N62" s="284">
        <f>Time!N$46</f>
        <v>0</v>
      </c>
      <c r="O62" s="284">
        <f>Time!O$46</f>
        <v>0</v>
      </c>
      <c r="P62" s="284">
        <f>Time!P$46</f>
        <v>0</v>
      </c>
      <c r="Q62" s="284">
        <f>Time!Q$46</f>
        <v>0</v>
      </c>
      <c r="R62" s="284">
        <f>Time!R$46</f>
        <v>0</v>
      </c>
    </row>
    <row r="63" spans="1:18" s="98" customFormat="1" x14ac:dyDescent="0.25">
      <c r="A63" s="69"/>
      <c r="B63" s="80"/>
      <c r="C63" s="150"/>
      <c r="D63" s="74"/>
      <c r="E63" s="207" t="s">
        <v>245</v>
      </c>
      <c r="F63" s="207"/>
      <c r="G63" s="207" t="s">
        <v>94</v>
      </c>
      <c r="H63" s="207"/>
      <c r="I63" s="207"/>
      <c r="J63" s="282">
        <f t="shared" ref="J63:L63" si="16" xml:space="preserve"> ((1 + J$60)  * (1 + J$61) - 1) * J$62</f>
        <v>0</v>
      </c>
      <c r="K63" s="282">
        <f t="shared" si="16"/>
        <v>0</v>
      </c>
      <c r="L63" s="282">
        <f t="shared" si="16"/>
        <v>0</v>
      </c>
      <c r="M63" s="282">
        <f xml:space="preserve"> ((1 + M$60)  * (1 + M$61) - 1) * M$62</f>
        <v>2.4258091513662761E-2</v>
      </c>
      <c r="N63" s="282">
        <f t="shared" ref="N63:R63" si="17" xml:space="preserve"> ((1 + N$60)  * (1 + N$61) - 1) * N$62</f>
        <v>0</v>
      </c>
      <c r="O63" s="282">
        <f t="shared" si="17"/>
        <v>0</v>
      </c>
      <c r="P63" s="282">
        <f t="shared" si="17"/>
        <v>0</v>
      </c>
      <c r="Q63" s="282">
        <f t="shared" si="17"/>
        <v>0</v>
      </c>
      <c r="R63" s="282">
        <f t="shared" si="17"/>
        <v>0</v>
      </c>
    </row>
    <row r="64" spans="1:18" s="98" customFormat="1" x14ac:dyDescent="0.25">
      <c r="A64" s="69"/>
      <c r="B64" s="80"/>
      <c r="C64" s="150"/>
      <c r="D64" s="74"/>
      <c r="E64" s="56"/>
      <c r="F64" s="56"/>
      <c r="G64" s="56"/>
      <c r="H64" s="56"/>
      <c r="I64" s="56"/>
      <c r="J64" s="285"/>
      <c r="K64" s="285"/>
      <c r="L64" s="285"/>
      <c r="M64" s="285"/>
      <c r="N64" s="285"/>
      <c r="O64" s="285"/>
      <c r="P64" s="285"/>
      <c r="Q64" s="285"/>
      <c r="R64" s="285"/>
    </row>
    <row r="65" spans="1:18" s="98" customFormat="1" x14ac:dyDescent="0.25">
      <c r="A65" s="69"/>
      <c r="B65" s="80"/>
      <c r="C65" s="150"/>
      <c r="D65" s="74"/>
      <c r="E65" s="207" t="str">
        <f xml:space="preserve"> E$63</f>
        <v>CPI(H) + RPI wedge 2020-21 percentage movement - final determination</v>
      </c>
      <c r="F65" s="207"/>
      <c r="G65" s="207" t="str">
        <f t="shared" ref="G65:R65" si="18" xml:space="preserve"> G$63</f>
        <v>%</v>
      </c>
      <c r="H65" s="207"/>
      <c r="I65" s="207">
        <f t="shared" si="18"/>
        <v>0</v>
      </c>
      <c r="J65" s="282">
        <f t="shared" si="18"/>
        <v>0</v>
      </c>
      <c r="K65" s="282">
        <f t="shared" si="18"/>
        <v>0</v>
      </c>
      <c r="L65" s="282">
        <f t="shared" si="18"/>
        <v>0</v>
      </c>
      <c r="M65" s="282">
        <f t="shared" si="18"/>
        <v>2.4258091513662761E-2</v>
      </c>
      <c r="N65" s="282">
        <f t="shared" si="18"/>
        <v>0</v>
      </c>
      <c r="O65" s="282">
        <f t="shared" si="18"/>
        <v>0</v>
      </c>
      <c r="P65" s="282">
        <f t="shared" si="18"/>
        <v>0</v>
      </c>
      <c r="Q65" s="282">
        <f t="shared" si="18"/>
        <v>0</v>
      </c>
      <c r="R65" s="282">
        <f t="shared" si="18"/>
        <v>0</v>
      </c>
    </row>
    <row r="66" spans="1:18" s="98" customFormat="1" x14ac:dyDescent="0.25">
      <c r="A66" s="69"/>
      <c r="B66" s="80"/>
      <c r="C66" s="150"/>
      <c r="D66" s="74"/>
      <c r="E66" s="207" t="str">
        <f t="shared" ref="E66:R66" si="19" xml:space="preserve"> E$25</f>
        <v>RPI: Fin year average - percentage increase - final determination</v>
      </c>
      <c r="F66" s="207"/>
      <c r="G66" s="207" t="str">
        <f t="shared" si="19"/>
        <v>%</v>
      </c>
      <c r="H66" s="193"/>
      <c r="I66" s="193"/>
      <c r="J66" s="286">
        <f t="shared" si="19"/>
        <v>0</v>
      </c>
      <c r="K66" s="286">
        <f t="shared" si="19"/>
        <v>0</v>
      </c>
      <c r="L66" s="286">
        <f t="shared" si="19"/>
        <v>3.1522140708501789E-2</v>
      </c>
      <c r="M66" s="286">
        <f t="shared" si="19"/>
        <v>2.8729732247136264E-2</v>
      </c>
      <c r="N66" s="286">
        <f t="shared" si="19"/>
        <v>2.9587648685595269E-2</v>
      </c>
      <c r="O66" s="286">
        <f t="shared" si="19"/>
        <v>3.150368327076003E-2</v>
      </c>
      <c r="P66" s="286">
        <f t="shared" si="19"/>
        <v>3.2000000000000695E-2</v>
      </c>
      <c r="Q66" s="286">
        <f t="shared" si="19"/>
        <v>3.1999999999999806E-2</v>
      </c>
      <c r="R66" s="286">
        <f t="shared" si="19"/>
        <v>2.9999999999999805E-2</v>
      </c>
    </row>
    <row r="67" spans="1:18" s="98" customFormat="1" x14ac:dyDescent="0.25">
      <c r="A67" s="69"/>
      <c r="B67" s="80"/>
      <c r="C67" s="150"/>
      <c r="D67" s="74"/>
      <c r="E67" s="207" t="s">
        <v>246</v>
      </c>
      <c r="F67" s="207"/>
      <c r="G67" s="207" t="s">
        <v>94</v>
      </c>
      <c r="H67" s="56"/>
      <c r="I67" s="56"/>
      <c r="J67" s="287">
        <f xml:space="preserve"> IF(J65 = 0, J66, J65)</f>
        <v>0</v>
      </c>
      <c r="K67" s="287">
        <f xml:space="preserve"> IF(K65 = 0, K66, K65)</f>
        <v>0</v>
      </c>
      <c r="L67" s="287">
        <f t="shared" ref="L67:R67" si="20" xml:space="preserve"> IF(L65 = 0, L66, L65)</f>
        <v>3.1522140708501789E-2</v>
      </c>
      <c r="M67" s="287">
        <f t="shared" si="20"/>
        <v>2.4258091513662761E-2</v>
      </c>
      <c r="N67" s="287">
        <f t="shared" si="20"/>
        <v>2.9587648685595269E-2</v>
      </c>
      <c r="O67" s="287">
        <f t="shared" si="20"/>
        <v>3.150368327076003E-2</v>
      </c>
      <c r="P67" s="287">
        <f t="shared" si="20"/>
        <v>3.2000000000000695E-2</v>
      </c>
      <c r="Q67" s="287">
        <f t="shared" si="20"/>
        <v>3.1999999999999806E-2</v>
      </c>
      <c r="R67" s="287">
        <f t="shared" si="20"/>
        <v>2.9999999999999805E-2</v>
      </c>
    </row>
    <row r="68" spans="1:18" s="98" customFormat="1" x14ac:dyDescent="0.25">
      <c r="A68" s="69"/>
      <c r="B68" s="80"/>
      <c r="C68" s="150"/>
      <c r="D68" s="74"/>
      <c r="E68" s="56"/>
      <c r="F68" s="56"/>
      <c r="G68" s="56"/>
      <c r="H68" s="56"/>
      <c r="I68" s="56"/>
      <c r="J68" s="285"/>
      <c r="K68" s="285"/>
      <c r="L68" s="285"/>
      <c r="M68" s="285"/>
      <c r="N68" s="285"/>
      <c r="O68" s="285"/>
      <c r="P68" s="285"/>
      <c r="Q68" s="285"/>
      <c r="R68" s="285"/>
    </row>
    <row r="69" spans="1:18" s="98" customFormat="1" x14ac:dyDescent="0.25">
      <c r="A69" s="69"/>
      <c r="B69" s="80"/>
      <c r="C69" s="150"/>
      <c r="D69" s="74"/>
      <c r="E69" s="207" t="str">
        <f xml:space="preserve"> E$67</f>
        <v>RPI: Fin year average - percentage increase - final determination active</v>
      </c>
      <c r="F69" s="207"/>
      <c r="G69" s="207" t="str">
        <f t="shared" ref="G69:R69" si="21" xml:space="preserve"> G$67</f>
        <v>%</v>
      </c>
      <c r="H69" s="193"/>
      <c r="I69" s="193"/>
      <c r="J69" s="286">
        <f t="shared" si="21"/>
        <v>0</v>
      </c>
      <c r="K69" s="286">
        <f t="shared" si="21"/>
        <v>0</v>
      </c>
      <c r="L69" s="286">
        <f t="shared" si="21"/>
        <v>3.1522140708501789E-2</v>
      </c>
      <c r="M69" s="286">
        <f t="shared" si="21"/>
        <v>2.4258091513662761E-2</v>
      </c>
      <c r="N69" s="286">
        <f t="shared" si="21"/>
        <v>2.9587648685595269E-2</v>
      </c>
      <c r="O69" s="286">
        <f t="shared" si="21"/>
        <v>3.150368327076003E-2</v>
      </c>
      <c r="P69" s="286">
        <f t="shared" si="21"/>
        <v>3.2000000000000695E-2</v>
      </c>
      <c r="Q69" s="286">
        <f t="shared" si="21"/>
        <v>3.1999999999999806E-2</v>
      </c>
      <c r="R69" s="286">
        <f t="shared" si="21"/>
        <v>2.9999999999999805E-2</v>
      </c>
    </row>
    <row r="70" spans="1:18" s="98" customFormat="1" x14ac:dyDescent="0.25">
      <c r="A70" s="69"/>
      <c r="B70" s="80"/>
      <c r="C70" s="150"/>
      <c r="D70" s="74"/>
      <c r="E70" s="207" t="str">
        <f>E$48</f>
        <v>CPI(H): Fin year average - percentage increase - final determination</v>
      </c>
      <c r="F70" s="207"/>
      <c r="G70" s="207" t="str">
        <f t="shared" ref="G70:R70" si="22">G$48</f>
        <v>%</v>
      </c>
      <c r="H70" s="207"/>
      <c r="I70" s="207">
        <f t="shared" si="22"/>
        <v>0</v>
      </c>
      <c r="J70" s="286">
        <f t="shared" si="22"/>
        <v>0</v>
      </c>
      <c r="K70" s="286">
        <f t="shared" si="22"/>
        <v>2.1269790500559882E-2</v>
      </c>
      <c r="L70" s="286">
        <f t="shared" si="22"/>
        <v>1.9909655450194075E-2</v>
      </c>
      <c r="M70" s="286">
        <f t="shared" si="22"/>
        <v>1.9833640562247679E-2</v>
      </c>
      <c r="N70" s="286">
        <f t="shared" si="22"/>
        <v>2.0041983108134653E-2</v>
      </c>
      <c r="O70" s="286">
        <f t="shared" si="22"/>
        <v>2.0751251595618081E-2</v>
      </c>
      <c r="P70" s="286">
        <f t="shared" si="22"/>
        <v>2.1000000000000574E-2</v>
      </c>
      <c r="Q70" s="286">
        <f t="shared" si="22"/>
        <v>2.100000000000124E-2</v>
      </c>
      <c r="R70" s="286">
        <f t="shared" si="22"/>
        <v>1.999999999999913E-2</v>
      </c>
    </row>
    <row r="71" spans="1:18" s="98" customFormat="1" x14ac:dyDescent="0.25">
      <c r="A71" s="69"/>
      <c r="B71" s="80"/>
      <c r="C71" s="150"/>
      <c r="D71" s="74"/>
      <c r="E71" s="288" t="s">
        <v>247</v>
      </c>
      <c r="F71" s="288"/>
      <c r="G71" s="288" t="s">
        <v>94</v>
      </c>
      <c r="H71" s="288"/>
      <c r="I71" s="288">
        <f>I$167</f>
        <v>0</v>
      </c>
      <c r="J71" s="289"/>
      <c r="K71" s="289">
        <f>K69-K70</f>
        <v>-2.1269790500559882E-2</v>
      </c>
      <c r="L71" s="289">
        <f t="shared" ref="L71:R71" si="23">L69-L70</f>
        <v>1.1612485258307714E-2</v>
      </c>
      <c r="M71" s="289">
        <f t="shared" si="23"/>
        <v>4.424450951415082E-3</v>
      </c>
      <c r="N71" s="289">
        <f t="shared" si="23"/>
        <v>9.5456655774606158E-3</v>
      </c>
      <c r="O71" s="289">
        <f t="shared" si="23"/>
        <v>1.0752431675141949E-2</v>
      </c>
      <c r="P71" s="289">
        <f t="shared" si="23"/>
        <v>1.1000000000000121E-2</v>
      </c>
      <c r="Q71" s="289">
        <f t="shared" si="23"/>
        <v>1.0999999999998566E-2</v>
      </c>
      <c r="R71" s="289">
        <f t="shared" si="23"/>
        <v>1.0000000000000675E-2</v>
      </c>
    </row>
    <row r="72" spans="1:18" s="98" customFormat="1" x14ac:dyDescent="0.25">
      <c r="A72" s="69"/>
      <c r="B72" s="80"/>
      <c r="C72" s="150"/>
      <c r="D72" s="74"/>
      <c r="E72" s="281"/>
      <c r="F72" s="281"/>
      <c r="G72" s="281"/>
      <c r="H72" s="281"/>
      <c r="I72" s="281"/>
      <c r="J72" s="281"/>
      <c r="K72" s="281"/>
      <c r="L72" s="281"/>
      <c r="M72" s="281"/>
      <c r="N72" s="281"/>
      <c r="O72" s="281"/>
      <c r="P72" s="281"/>
      <c r="Q72" s="281"/>
      <c r="R72" s="281"/>
    </row>
    <row r="73" spans="1:18" x14ac:dyDescent="0.25">
      <c r="A73" s="346" t="s">
        <v>184</v>
      </c>
      <c r="B73" s="347"/>
      <c r="C73" s="348"/>
      <c r="D73" s="348"/>
      <c r="E73" s="348"/>
      <c r="F73" s="348"/>
      <c r="G73" s="348"/>
      <c r="H73" s="348"/>
      <c r="I73" s="348"/>
      <c r="J73" s="348"/>
      <c r="K73" s="348"/>
      <c r="L73" s="348"/>
      <c r="M73" s="348"/>
      <c r="N73" s="348"/>
      <c r="O73" s="348"/>
      <c r="P73" s="348"/>
      <c r="Q73" s="348"/>
      <c r="R73" s="348"/>
    </row>
    <row r="74" spans="1:18" s="98" customFormat="1" x14ac:dyDescent="0.25">
      <c r="A74" s="69"/>
      <c r="B74" s="80" t="s">
        <v>185</v>
      </c>
      <c r="C74" s="150"/>
      <c r="D74" s="88"/>
      <c r="E74" s="127"/>
      <c r="F74" s="127"/>
      <c r="G74" s="127"/>
      <c r="H74" s="127"/>
      <c r="I74" s="127"/>
      <c r="J74" s="127"/>
      <c r="K74" s="127"/>
      <c r="L74" s="127"/>
      <c r="M74" s="127"/>
      <c r="N74" s="127"/>
      <c r="O74" s="127"/>
      <c r="P74" s="127"/>
      <c r="Q74" s="127"/>
      <c r="R74" s="127"/>
    </row>
    <row r="75" spans="1:18" s="98" customFormat="1" x14ac:dyDescent="0.25">
      <c r="A75" s="69"/>
      <c r="B75" s="80"/>
      <c r="C75" s="150"/>
      <c r="D75" s="88"/>
      <c r="E75" s="281" t="str">
        <f>InpR!E$56</f>
        <v>RPI: April - index - actual (including forecast)</v>
      </c>
      <c r="F75" s="281"/>
      <c r="G75" s="281" t="str">
        <f>InpR!G$56</f>
        <v>index</v>
      </c>
      <c r="H75" s="281" t="str">
        <f>InpR!I$56</f>
        <v>ONS, RPI All Items Index: Jan 1987=100</v>
      </c>
      <c r="I75" s="281" t="e">
        <f>InpR!#REF!</f>
        <v>#REF!</v>
      </c>
      <c r="J75" s="281">
        <f>InpR!J$56</f>
        <v>0</v>
      </c>
      <c r="K75" s="281">
        <f>InpR!K$56</f>
        <v>279.7</v>
      </c>
      <c r="L75" s="281">
        <f>InpR!L$56</f>
        <v>288.2</v>
      </c>
      <c r="M75" s="281">
        <f>InpR!M$56</f>
        <v>292.60000000000002</v>
      </c>
      <c r="N75" s="281">
        <f>InpR!N$56</f>
        <v>301.10000000000002</v>
      </c>
      <c r="O75" s="281">
        <f>InpR!O$56</f>
        <v>334.6</v>
      </c>
      <c r="P75" s="281">
        <f>InpR!P$56</f>
        <v>359</v>
      </c>
      <c r="Q75" s="281">
        <f>InpR!Q$56</f>
        <v>374.3</v>
      </c>
      <c r="R75" s="281">
        <f>InpR!R$56</f>
        <v>385.529</v>
      </c>
    </row>
    <row r="76" spans="1:18" s="98" customFormat="1" x14ac:dyDescent="0.25">
      <c r="A76" s="69"/>
      <c r="B76" s="80"/>
      <c r="C76" s="150"/>
      <c r="D76" s="88"/>
      <c r="E76" s="281" t="str">
        <f>InpR!E$57</f>
        <v>RPI: May - index - actual (including forecast)</v>
      </c>
      <c r="F76" s="281"/>
      <c r="G76" s="281" t="str">
        <f>InpR!G$57</f>
        <v>index</v>
      </c>
      <c r="H76" s="281" t="str">
        <f>InpR!I$57</f>
        <v>ONS, RPI All Items Index: Jan 1987=100</v>
      </c>
      <c r="I76" s="281" t="e">
        <f>InpR!#REF!</f>
        <v>#REF!</v>
      </c>
      <c r="J76" s="281">
        <f>InpR!J$57</f>
        <v>0</v>
      </c>
      <c r="K76" s="281">
        <f>InpR!K$57</f>
        <v>280.7</v>
      </c>
      <c r="L76" s="281">
        <f>InpR!L$57</f>
        <v>289.2</v>
      </c>
      <c r="M76" s="281">
        <f>InpR!M$57</f>
        <v>292.2</v>
      </c>
      <c r="N76" s="281">
        <f>InpR!N$57</f>
        <v>301.89999999999998</v>
      </c>
      <c r="O76" s="281">
        <f>InpR!O$57</f>
        <v>337.1</v>
      </c>
      <c r="P76" s="281">
        <f>InpR!P$57</f>
        <v>361.7</v>
      </c>
      <c r="Q76" s="281">
        <f>InpR!Q$57</f>
        <v>377.1</v>
      </c>
      <c r="R76" s="281">
        <f>InpR!R$57</f>
        <v>388.41300000000001</v>
      </c>
    </row>
    <row r="77" spans="1:18" s="98" customFormat="1" x14ac:dyDescent="0.25">
      <c r="A77" s="69"/>
      <c r="B77" s="80"/>
      <c r="C77" s="150"/>
      <c r="D77" s="88"/>
      <c r="E77" s="281" t="str">
        <f>InpR!E$58</f>
        <v>RPI: June - index - actual (including forecast)</v>
      </c>
      <c r="F77" s="281"/>
      <c r="G77" s="281" t="str">
        <f>InpR!G$58</f>
        <v>index</v>
      </c>
      <c r="H77" s="281" t="str">
        <f>InpR!I$58</f>
        <v>ONS, RPI All Items Index: Jan 1987=100</v>
      </c>
      <c r="I77" s="281" t="e">
        <f>InpR!#REF!</f>
        <v>#REF!</v>
      </c>
      <c r="J77" s="281">
        <f>InpR!J$58</f>
        <v>0</v>
      </c>
      <c r="K77" s="281">
        <f>InpR!K$58</f>
        <v>281.5</v>
      </c>
      <c r="L77" s="281">
        <f>InpR!L$58</f>
        <v>289.60000000000002</v>
      </c>
      <c r="M77" s="281">
        <f>InpR!M$58</f>
        <v>292.7</v>
      </c>
      <c r="N77" s="281">
        <f>InpR!N$58</f>
        <v>304</v>
      </c>
      <c r="O77" s="281">
        <f>InpR!O$58</f>
        <v>340</v>
      </c>
      <c r="P77" s="281">
        <f>InpR!P$58</f>
        <v>364.8</v>
      </c>
      <c r="Q77" s="281">
        <f>InpR!Q$58</f>
        <v>380.4</v>
      </c>
      <c r="R77" s="281">
        <f>InpR!R$58</f>
        <v>391.81200000000001</v>
      </c>
    </row>
    <row r="78" spans="1:18" s="98" customFormat="1" x14ac:dyDescent="0.25">
      <c r="A78" s="69"/>
      <c r="B78" s="80"/>
      <c r="C78" s="150"/>
      <c r="D78" s="88"/>
      <c r="E78" s="281" t="str">
        <f>InpR!E$59</f>
        <v>RPI: July - index - actual (including forecast)</v>
      </c>
      <c r="F78" s="281"/>
      <c r="G78" s="281" t="str">
        <f>InpR!G$59</f>
        <v>index</v>
      </c>
      <c r="H78" s="281" t="str">
        <f>InpR!I$59</f>
        <v>ONS, RPI All Items Index: Jan 1987=100</v>
      </c>
      <c r="I78" s="281" t="e">
        <f>InpR!#REF!</f>
        <v>#REF!</v>
      </c>
      <c r="J78" s="281">
        <f>InpR!J$59</f>
        <v>0</v>
      </c>
      <c r="K78" s="281">
        <f>InpR!K$59</f>
        <v>281.7</v>
      </c>
      <c r="L78" s="281">
        <f>InpR!L$59</f>
        <v>289.5</v>
      </c>
      <c r="M78" s="281">
        <f>InpR!M$59</f>
        <v>294.2</v>
      </c>
      <c r="N78" s="281">
        <f>InpR!N$59</f>
        <v>305.5</v>
      </c>
      <c r="O78" s="281">
        <f>InpR!O$59</f>
        <v>343.2</v>
      </c>
      <c r="P78" s="281">
        <f>InpR!P$59</f>
        <v>368.2</v>
      </c>
      <c r="Q78" s="281">
        <f>InpR!Q$59</f>
        <v>383.9</v>
      </c>
      <c r="R78" s="281">
        <f>InpR!R$59</f>
        <v>395.41699999999997</v>
      </c>
    </row>
    <row r="79" spans="1:18" s="98" customFormat="1" x14ac:dyDescent="0.25">
      <c r="A79" s="69"/>
      <c r="B79" s="80"/>
      <c r="C79" s="150"/>
      <c r="D79" s="88"/>
      <c r="E79" s="281" t="str">
        <f>InpR!E$60</f>
        <v>RPI: August - index - actual (including forecast)</v>
      </c>
      <c r="F79" s="281"/>
      <c r="G79" s="281" t="str">
        <f>InpR!G$60</f>
        <v>index</v>
      </c>
      <c r="H79" s="281" t="str">
        <f>InpR!I$60</f>
        <v>ONS, RPI All Items Index: Jan 1987=100</v>
      </c>
      <c r="I79" s="281" t="e">
        <f>InpR!#REF!</f>
        <v>#REF!</v>
      </c>
      <c r="J79" s="281">
        <f>InpR!J$60</f>
        <v>0</v>
      </c>
      <c r="K79" s="281">
        <f>InpR!K$60</f>
        <v>284.2</v>
      </c>
      <c r="L79" s="281">
        <f>InpR!L$60</f>
        <v>291.7</v>
      </c>
      <c r="M79" s="281">
        <f>InpR!M$60</f>
        <v>293.3</v>
      </c>
      <c r="N79" s="281">
        <f>InpR!N$60</f>
        <v>307.39999999999998</v>
      </c>
      <c r="O79" s="281">
        <f>InpR!O$60</f>
        <v>345.2</v>
      </c>
      <c r="P79" s="281">
        <f>InpR!P$60</f>
        <v>370.4</v>
      </c>
      <c r="Q79" s="281">
        <f>InpR!Q$60</f>
        <v>386.2</v>
      </c>
      <c r="R79" s="281">
        <f>InpR!R$60</f>
        <v>397.786</v>
      </c>
    </row>
    <row r="80" spans="1:18" s="98" customFormat="1" x14ac:dyDescent="0.25">
      <c r="A80" s="69"/>
      <c r="B80" s="80"/>
      <c r="C80" s="150"/>
      <c r="D80" s="88"/>
      <c r="E80" s="281" t="str">
        <f>InpR!E$61</f>
        <v>RPI: September - index - actual (including forecast)</v>
      </c>
      <c r="F80" s="281"/>
      <c r="G80" s="281" t="str">
        <f>InpR!G$61</f>
        <v>index</v>
      </c>
      <c r="H80" s="281" t="str">
        <f>InpR!I$61</f>
        <v>ONS, RPI All Items Index: Jan 1987=100</v>
      </c>
      <c r="I80" s="281" t="e">
        <f>InpR!#REF!</f>
        <v>#REF!</v>
      </c>
      <c r="J80" s="281">
        <f>InpR!J$61</f>
        <v>0</v>
      </c>
      <c r="K80" s="281">
        <f>InpR!K$61</f>
        <v>284.10000000000002</v>
      </c>
      <c r="L80" s="281">
        <f>InpR!L$61</f>
        <v>291</v>
      </c>
      <c r="M80" s="281">
        <f>InpR!M$61</f>
        <v>294.3</v>
      </c>
      <c r="N80" s="281">
        <f>InpR!N$61</f>
        <v>308.60000000000002</v>
      </c>
      <c r="O80" s="281">
        <f>InpR!O$61</f>
        <v>347.6</v>
      </c>
      <c r="P80" s="281">
        <f>InpR!P$61</f>
        <v>373</v>
      </c>
      <c r="Q80" s="281">
        <f>InpR!Q$61</f>
        <v>388.9</v>
      </c>
      <c r="R80" s="281">
        <f>InpR!R$61</f>
        <v>400.56700000000001</v>
      </c>
    </row>
    <row r="81" spans="1:18" s="98" customFormat="1" x14ac:dyDescent="0.25">
      <c r="A81" s="69"/>
      <c r="B81" s="80"/>
      <c r="C81" s="150"/>
      <c r="D81" s="88"/>
      <c r="E81" s="281" t="str">
        <f>InpR!E$62</f>
        <v>RPI: October - index - actual (including forecast)</v>
      </c>
      <c r="F81" s="281"/>
      <c r="G81" s="281" t="str">
        <f>InpR!G$62</f>
        <v>index</v>
      </c>
      <c r="H81" s="281" t="str">
        <f>InpR!I$62</f>
        <v>ONS, RPI All Items Index: Jan 1987=100</v>
      </c>
      <c r="I81" s="281" t="e">
        <f>InpR!#REF!</f>
        <v>#REF!</v>
      </c>
      <c r="J81" s="281">
        <f>InpR!J$62</f>
        <v>0</v>
      </c>
      <c r="K81" s="281">
        <f>InpR!K$62</f>
        <v>284.5</v>
      </c>
      <c r="L81" s="281">
        <f>InpR!L$62</f>
        <v>290.39999999999998</v>
      </c>
      <c r="M81" s="281">
        <f>InpR!M$62</f>
        <v>294.3</v>
      </c>
      <c r="N81" s="281">
        <f>InpR!N$62</f>
        <v>312</v>
      </c>
      <c r="O81" s="281">
        <f>InpR!O$62</f>
        <v>356.2</v>
      </c>
      <c r="P81" s="281">
        <f>InpR!P$62</f>
        <v>382.2</v>
      </c>
      <c r="Q81" s="281">
        <f>InpR!Q$62</f>
        <v>398.5</v>
      </c>
      <c r="R81" s="281">
        <f>InpR!R$62</f>
        <v>410.45499999999998</v>
      </c>
    </row>
    <row r="82" spans="1:18" s="98" customFormat="1" x14ac:dyDescent="0.25">
      <c r="A82" s="69"/>
      <c r="B82" s="80"/>
      <c r="C82" s="150"/>
      <c r="D82" s="88"/>
      <c r="E82" s="281" t="str">
        <f>InpR!E$63</f>
        <v>RPI: November - index - actual (including forecast)</v>
      </c>
      <c r="F82" s="281"/>
      <c r="G82" s="281" t="str">
        <f>InpR!G$63</f>
        <v>index</v>
      </c>
      <c r="H82" s="281" t="str">
        <f>InpR!I$63</f>
        <v>ONS, RPI All Items Index: Jan 1987=100</v>
      </c>
      <c r="I82" s="281" t="e">
        <f>InpR!#REF!</f>
        <v>#REF!</v>
      </c>
      <c r="J82" s="281">
        <f>InpR!J$63</f>
        <v>0</v>
      </c>
      <c r="K82" s="281">
        <f>InpR!K$63</f>
        <v>284.60000000000002</v>
      </c>
      <c r="L82" s="281">
        <f>InpR!L$63</f>
        <v>291</v>
      </c>
      <c r="M82" s="281">
        <f>InpR!M$63</f>
        <v>293.5</v>
      </c>
      <c r="N82" s="281">
        <f>InpR!N$63</f>
        <v>314.3</v>
      </c>
      <c r="O82" s="281">
        <f>InpR!O$63</f>
        <v>358.3</v>
      </c>
      <c r="P82" s="281">
        <f>InpR!P$63</f>
        <v>384.5</v>
      </c>
      <c r="Q82" s="281">
        <f>InpR!Q$63</f>
        <v>400.9</v>
      </c>
      <c r="R82" s="281">
        <f>InpR!R$63</f>
        <v>412.92699999999996</v>
      </c>
    </row>
    <row r="83" spans="1:18" s="98" customFormat="1" x14ac:dyDescent="0.25">
      <c r="A83" s="69"/>
      <c r="B83" s="80"/>
      <c r="C83" s="150"/>
      <c r="D83" s="88"/>
      <c r="E83" s="281" t="str">
        <f>InpR!E$64</f>
        <v>RPI: December - index - actual (including forecast)</v>
      </c>
      <c r="F83" s="281"/>
      <c r="G83" s="281" t="str">
        <f>InpR!G$64</f>
        <v>index</v>
      </c>
      <c r="H83" s="281" t="str">
        <f>InpR!I$64</f>
        <v>ONS, RPI All Items Index: Jan 1987=100</v>
      </c>
      <c r="I83" s="281" t="e">
        <f>InpR!#REF!</f>
        <v>#REF!</v>
      </c>
      <c r="J83" s="281">
        <f>InpR!J$64</f>
        <v>0</v>
      </c>
      <c r="K83" s="281">
        <f>InpR!K$64</f>
        <v>285.60000000000002</v>
      </c>
      <c r="L83" s="281">
        <f>InpR!L$64</f>
        <v>291.89999999999998</v>
      </c>
      <c r="M83" s="281">
        <f>InpR!M$64</f>
        <v>295.39999999999998</v>
      </c>
      <c r="N83" s="281">
        <f>InpR!N$64</f>
        <v>317.7</v>
      </c>
      <c r="O83" s="281">
        <f>InpR!O$64</f>
        <v>360.4</v>
      </c>
      <c r="P83" s="281">
        <f>InpR!P$64</f>
        <v>386.7</v>
      </c>
      <c r="Q83" s="281">
        <f>InpR!Q$64</f>
        <v>403.2</v>
      </c>
      <c r="R83" s="281">
        <f>InpR!R$64</f>
        <v>415.29599999999999</v>
      </c>
    </row>
    <row r="84" spans="1:18" s="98" customFormat="1" x14ac:dyDescent="0.25">
      <c r="A84" s="69"/>
      <c r="B84" s="80"/>
      <c r="C84" s="150"/>
      <c r="D84" s="88"/>
      <c r="E84" s="281" t="str">
        <f>InpR!E$65</f>
        <v>RPI: January - index - actual (including forecast)</v>
      </c>
      <c r="F84" s="281"/>
      <c r="G84" s="281" t="str">
        <f>InpR!G$65</f>
        <v>index</v>
      </c>
      <c r="H84" s="281" t="str">
        <f>InpR!I$65</f>
        <v>ONS, RPI All Items Index: Jan 1987=100</v>
      </c>
      <c r="I84" s="281" t="e">
        <f>InpR!#REF!</f>
        <v>#REF!</v>
      </c>
      <c r="J84" s="281">
        <f>InpR!J$65</f>
        <v>0</v>
      </c>
      <c r="K84" s="281">
        <f>InpR!K$65</f>
        <v>283</v>
      </c>
      <c r="L84" s="281">
        <f>InpR!L$65</f>
        <v>290.60000000000002</v>
      </c>
      <c r="M84" s="281">
        <f>InpR!M$65</f>
        <v>294.60000000000002</v>
      </c>
      <c r="N84" s="281">
        <f>InpR!N$65</f>
        <v>317.7</v>
      </c>
      <c r="O84" s="281">
        <f>InpR!O$65</f>
        <v>360.3</v>
      </c>
      <c r="P84" s="281">
        <f>InpR!P$65</f>
        <v>386.6</v>
      </c>
      <c r="Q84" s="281">
        <f>InpR!Q$65</f>
        <v>403.1</v>
      </c>
      <c r="R84" s="281">
        <f>InpR!R$65</f>
        <v>415.19300000000004</v>
      </c>
    </row>
    <row r="85" spans="1:18" s="98" customFormat="1" x14ac:dyDescent="0.25">
      <c r="A85" s="69"/>
      <c r="B85" s="80"/>
      <c r="C85" s="150"/>
      <c r="D85" s="88"/>
      <c r="E85" s="281" t="str">
        <f>InpR!E$66</f>
        <v>RPI: February - index - actual (including forecast)</v>
      </c>
      <c r="F85" s="281"/>
      <c r="G85" s="281" t="str">
        <f>InpR!G$66</f>
        <v>index</v>
      </c>
      <c r="H85" s="281" t="str">
        <f>InpR!I$66</f>
        <v>ONS, RPI All Items Index: Jan 1987=100</v>
      </c>
      <c r="I85" s="281" t="e">
        <f>InpR!#REF!</f>
        <v>#REF!</v>
      </c>
      <c r="J85" s="281">
        <f>InpR!J$66</f>
        <v>0</v>
      </c>
      <c r="K85" s="281">
        <f>InpR!K$66</f>
        <v>285</v>
      </c>
      <c r="L85" s="281">
        <f>InpR!L$66</f>
        <v>292</v>
      </c>
      <c r="M85" s="281">
        <f>InpR!M$66</f>
        <v>296</v>
      </c>
      <c r="N85" s="281">
        <f>InpR!N$66</f>
        <v>320.2</v>
      </c>
      <c r="O85" s="281">
        <f>InpR!O$66</f>
        <v>364.5</v>
      </c>
      <c r="P85" s="281">
        <f>InpR!P$66</f>
        <v>391.1</v>
      </c>
      <c r="Q85" s="281">
        <f>InpR!Q$66</f>
        <v>407.8</v>
      </c>
      <c r="R85" s="281">
        <f>InpR!R$66</f>
        <v>420.03400000000005</v>
      </c>
    </row>
    <row r="86" spans="1:18" s="98" customFormat="1" x14ac:dyDescent="0.25">
      <c r="A86" s="69"/>
      <c r="B86" s="80"/>
      <c r="C86" s="150"/>
      <c r="D86" s="88"/>
      <c r="E86" s="281" t="str">
        <f>InpR!E$67</f>
        <v>RPI: March - index - actual (including forecast)</v>
      </c>
      <c r="F86" s="281"/>
      <c r="G86" s="281" t="str">
        <f>InpR!G$67</f>
        <v>index</v>
      </c>
      <c r="H86" s="281" t="str">
        <f>InpR!I$67</f>
        <v>ONS, RPI All Items Index: Jan 1987=100</v>
      </c>
      <c r="I86" s="281" t="e">
        <f>InpR!#REF!</f>
        <v>#REF!</v>
      </c>
      <c r="J86" s="281">
        <f>InpR!J$67</f>
        <v>0</v>
      </c>
      <c r="K86" s="281">
        <f>InpR!K$67</f>
        <v>285.10000000000002</v>
      </c>
      <c r="L86" s="281">
        <f>InpR!L$67</f>
        <v>292.60000000000002</v>
      </c>
      <c r="M86" s="281">
        <f>InpR!M$67</f>
        <v>296.89999999999998</v>
      </c>
      <c r="N86" s="281">
        <f>InpR!N$67</f>
        <v>323.5</v>
      </c>
      <c r="O86" s="281">
        <f>InpR!O$67</f>
        <v>367.2</v>
      </c>
      <c r="P86" s="281">
        <f>InpR!P$67</f>
        <v>394</v>
      </c>
      <c r="Q86" s="281">
        <f>InpR!Q$67</f>
        <v>410.8</v>
      </c>
      <c r="R86" s="281">
        <f>InpR!R$67</f>
        <v>423.12400000000002</v>
      </c>
    </row>
    <row r="87" spans="1:18" s="98" customFormat="1" x14ac:dyDescent="0.25">
      <c r="A87" s="68"/>
      <c r="B87" s="80"/>
      <c r="C87" s="150"/>
      <c r="D87" s="88"/>
      <c r="E87" s="127"/>
      <c r="F87" s="127"/>
      <c r="G87" s="127"/>
      <c r="H87" s="127"/>
      <c r="I87" s="127"/>
      <c r="J87" s="127"/>
      <c r="K87" s="127"/>
      <c r="L87" s="127"/>
      <c r="M87" s="127"/>
      <c r="N87" s="127"/>
      <c r="O87" s="127"/>
      <c r="P87" s="127"/>
      <c r="Q87" s="127"/>
      <c r="R87" s="127"/>
    </row>
    <row r="88" spans="1:18" s="98" customFormat="1" x14ac:dyDescent="0.25">
      <c r="A88" s="69"/>
      <c r="B88" s="80"/>
      <c r="C88" s="150"/>
      <c r="D88" s="74"/>
      <c r="E88" s="125" t="s">
        <v>248</v>
      </c>
      <c r="F88" s="125"/>
      <c r="G88" s="125" t="s">
        <v>188</v>
      </c>
      <c r="H88" s="56"/>
      <c r="I88" s="60"/>
      <c r="J88" s="125">
        <f xml:space="preserve"> SUM(J75:J86) / 12</f>
        <v>0</v>
      </c>
      <c r="K88" s="125">
        <f t="shared" ref="K88:R88" si="24" xml:space="preserve"> SUM(K75:K86) / 12</f>
        <v>283.30833333333334</v>
      </c>
      <c r="L88" s="125">
        <f t="shared" si="24"/>
        <v>290.64166666666665</v>
      </c>
      <c r="M88" s="125">
        <f t="shared" si="24"/>
        <v>294.16666666666669</v>
      </c>
      <c r="N88" s="125">
        <f t="shared" si="24"/>
        <v>311.1583333333333</v>
      </c>
      <c r="O88" s="125">
        <f t="shared" si="24"/>
        <v>351.2166666666667</v>
      </c>
      <c r="P88" s="125">
        <f t="shared" si="24"/>
        <v>376.84999999999997</v>
      </c>
      <c r="Q88" s="125">
        <f t="shared" si="24"/>
        <v>392.92500000000001</v>
      </c>
      <c r="R88" s="125">
        <f t="shared" si="24"/>
        <v>404.71274999999997</v>
      </c>
    </row>
    <row r="89" spans="1:18" s="98" customFormat="1" x14ac:dyDescent="0.25">
      <c r="A89" s="69"/>
      <c r="B89" s="80"/>
      <c r="C89" s="150"/>
      <c r="D89" s="74"/>
      <c r="E89" s="125" t="s">
        <v>249</v>
      </c>
      <c r="F89" s="56"/>
      <c r="G89" s="125" t="s">
        <v>94</v>
      </c>
      <c r="H89" s="56"/>
      <c r="I89" s="56"/>
      <c r="J89" s="282">
        <f xml:space="preserve"> IF(I$88 = 0, 0, J$88 / I$88 - 1)</f>
        <v>0</v>
      </c>
      <c r="K89" s="282">
        <f t="shared" ref="K89:R89" si="25" xml:space="preserve"> IF(J$88 = 0, 0, K$88 / J$88 - 1)</f>
        <v>0</v>
      </c>
      <c r="L89" s="282">
        <f t="shared" si="25"/>
        <v>2.5884636879724532E-2</v>
      </c>
      <c r="M89" s="282">
        <f t="shared" si="25"/>
        <v>1.2128336726209277E-2</v>
      </c>
      <c r="N89" s="282">
        <f t="shared" si="25"/>
        <v>5.7762039660056441E-2</v>
      </c>
      <c r="O89" s="282">
        <f t="shared" si="25"/>
        <v>0.12873938777149907</v>
      </c>
      <c r="P89" s="282">
        <f t="shared" si="25"/>
        <v>7.298438760499204E-2</v>
      </c>
      <c r="Q89" s="282">
        <f t="shared" si="25"/>
        <v>4.2656229268940082E-2</v>
      </c>
      <c r="R89" s="282">
        <f t="shared" si="25"/>
        <v>2.9999999999999805E-2</v>
      </c>
    </row>
    <row r="90" spans="1:18" s="98" customFormat="1" x14ac:dyDescent="0.25">
      <c r="A90" s="69"/>
      <c r="B90" s="80"/>
      <c r="C90" s="150"/>
      <c r="D90" s="74"/>
      <c r="E90" s="125"/>
      <c r="F90" s="125"/>
      <c r="G90" s="125"/>
      <c r="H90" s="125"/>
      <c r="I90" s="125"/>
      <c r="J90" s="56"/>
      <c r="K90" s="56"/>
      <c r="L90" s="56"/>
      <c r="M90" s="56"/>
      <c r="N90" s="56"/>
      <c r="O90" s="56"/>
      <c r="P90" s="56"/>
      <c r="Q90" s="56"/>
      <c r="R90" s="56"/>
    </row>
    <row r="91" spans="1:18" s="98" customFormat="1" x14ac:dyDescent="0.25">
      <c r="A91" s="69"/>
      <c r="B91" s="80"/>
      <c r="C91" s="150"/>
      <c r="D91" s="74"/>
      <c r="E91" s="125" t="str">
        <f>E$86</f>
        <v>RPI: March - index - actual (including forecast)</v>
      </c>
      <c r="F91" s="125"/>
      <c r="G91" s="125" t="str">
        <f t="shared" ref="G91:R91" si="26">G$86</f>
        <v>index</v>
      </c>
      <c r="H91" s="125" t="str">
        <f t="shared" si="26"/>
        <v>ONS, RPI All Items Index: Jan 1987=100</v>
      </c>
      <c r="I91" s="125" t="e">
        <f t="shared" si="26"/>
        <v>#REF!</v>
      </c>
      <c r="J91" s="125">
        <f t="shared" si="26"/>
        <v>0</v>
      </c>
      <c r="K91" s="125">
        <f t="shared" si="26"/>
        <v>285.10000000000002</v>
      </c>
      <c r="L91" s="125">
        <f t="shared" si="26"/>
        <v>292.60000000000002</v>
      </c>
      <c r="M91" s="125">
        <f t="shared" si="26"/>
        <v>296.89999999999998</v>
      </c>
      <c r="N91" s="125">
        <f t="shared" si="26"/>
        <v>323.5</v>
      </c>
      <c r="O91" s="125">
        <f t="shared" si="26"/>
        <v>367.2</v>
      </c>
      <c r="P91" s="125">
        <f t="shared" si="26"/>
        <v>394</v>
      </c>
      <c r="Q91" s="125">
        <f t="shared" si="26"/>
        <v>410.8</v>
      </c>
      <c r="R91" s="125">
        <f t="shared" si="26"/>
        <v>423.12400000000002</v>
      </c>
    </row>
    <row r="92" spans="1:18" s="98" customFormat="1" x14ac:dyDescent="0.25">
      <c r="A92" s="13"/>
      <c r="B92" s="58"/>
      <c r="C92" s="151"/>
      <c r="D92" s="57"/>
      <c r="E92" s="207" t="str">
        <f>E$88</f>
        <v>RPI: Financial year average - index - actual (including forecast)</v>
      </c>
      <c r="F92" s="56"/>
      <c r="G92" s="125" t="str">
        <f>G$88</f>
        <v>index</v>
      </c>
      <c r="H92" s="125">
        <f t="shared" ref="H92:R92" si="27">H$88</f>
        <v>0</v>
      </c>
      <c r="I92" s="125">
        <f t="shared" si="27"/>
        <v>0</v>
      </c>
      <c r="J92" s="125">
        <f t="shared" si="27"/>
        <v>0</v>
      </c>
      <c r="K92" s="125">
        <f t="shared" si="27"/>
        <v>283.30833333333334</v>
      </c>
      <c r="L92" s="125">
        <f t="shared" si="27"/>
        <v>290.64166666666665</v>
      </c>
      <c r="M92" s="125">
        <f t="shared" si="27"/>
        <v>294.16666666666669</v>
      </c>
      <c r="N92" s="125">
        <f t="shared" si="27"/>
        <v>311.1583333333333</v>
      </c>
      <c r="O92" s="125">
        <f t="shared" si="27"/>
        <v>351.2166666666667</v>
      </c>
      <c r="P92" s="125">
        <f t="shared" si="27"/>
        <v>376.84999999999997</v>
      </c>
      <c r="Q92" s="125">
        <f t="shared" si="27"/>
        <v>392.92500000000001</v>
      </c>
      <c r="R92" s="125">
        <f t="shared" si="27"/>
        <v>404.71274999999997</v>
      </c>
    </row>
    <row r="93" spans="1:18" s="98" customFormat="1" x14ac:dyDescent="0.25">
      <c r="A93" s="69"/>
      <c r="B93" s="283"/>
      <c r="C93" s="283"/>
      <c r="D93" s="283"/>
      <c r="E93" s="284" t="str">
        <f>Time!E$46</f>
        <v>1st Forecast Period Flag</v>
      </c>
      <c r="F93" s="284"/>
      <c r="G93" s="284" t="str">
        <f>Time!G$46</f>
        <v>flag</v>
      </c>
      <c r="H93" s="284">
        <f>Time!H$46</f>
        <v>1</v>
      </c>
      <c r="I93" s="284">
        <f>Time!I$46</f>
        <v>0</v>
      </c>
      <c r="J93" s="284">
        <f>Time!J$46</f>
        <v>0</v>
      </c>
      <c r="K93" s="284">
        <f>Time!K$46</f>
        <v>0</v>
      </c>
      <c r="L93" s="284">
        <f>Time!L$46</f>
        <v>0</v>
      </c>
      <c r="M93" s="284">
        <f>Time!M$46</f>
        <v>1</v>
      </c>
      <c r="N93" s="284">
        <f>Time!N$46</f>
        <v>0</v>
      </c>
      <c r="O93" s="284">
        <f>Time!O$46</f>
        <v>0</v>
      </c>
      <c r="P93" s="284">
        <f>Time!P$46</f>
        <v>0</v>
      </c>
      <c r="Q93" s="284">
        <f>Time!Q$46</f>
        <v>0</v>
      </c>
      <c r="R93" s="284">
        <f>Time!R$46</f>
        <v>0</v>
      </c>
    </row>
    <row r="94" spans="1:18" s="98" customFormat="1" x14ac:dyDescent="0.25">
      <c r="A94" s="69"/>
      <c r="B94" s="80"/>
      <c r="C94" s="150"/>
      <c r="D94" s="74"/>
      <c r="E94" s="207" t="s">
        <v>250</v>
      </c>
      <c r="F94" s="56"/>
      <c r="G94" s="125" t="s">
        <v>94</v>
      </c>
      <c r="H94" s="56"/>
      <c r="I94" s="56"/>
      <c r="J94" s="282">
        <f xml:space="preserve"> IFERROR((J92 / I91 - 1) * J93, 0)</f>
        <v>0</v>
      </c>
      <c r="K94" s="282">
        <f t="shared" ref="K94" si="28" xml:space="preserve"> IFERROR((K92 / J91 - 1) * K93, 0)</f>
        <v>0</v>
      </c>
      <c r="L94" s="282">
        <f t="shared" ref="L94" si="29" xml:space="preserve"> IFERROR((L92 / K91 - 1) * L93, 0)</f>
        <v>0</v>
      </c>
      <c r="M94" s="282">
        <f xml:space="preserve"> IFERROR((M92 / L91 - 1) * M93, 0)</f>
        <v>5.3542948279790004E-3</v>
      </c>
      <c r="N94" s="282">
        <f t="shared" ref="N94" si="30" xml:space="preserve"> IFERROR((N92 / M91 - 1) * N93, 0)</f>
        <v>0</v>
      </c>
      <c r="O94" s="282">
        <f t="shared" ref="O94" si="31" xml:space="preserve"> IFERROR((O92 / N91 - 1) * O93, 0)</f>
        <v>0</v>
      </c>
      <c r="P94" s="282">
        <f t="shared" ref="P94" si="32" xml:space="preserve"> IFERROR((P92 / O91 - 1) * P93, 0)</f>
        <v>0</v>
      </c>
      <c r="Q94" s="282">
        <f t="shared" ref="Q94" si="33" xml:space="preserve"> IFERROR((Q92 / P91 - 1) * Q93, 0)</f>
        <v>0</v>
      </c>
      <c r="R94" s="282">
        <f t="shared" ref="R94" si="34" xml:space="preserve"> IFERROR((R92 / Q91 - 1) * R93, 0)</f>
        <v>0</v>
      </c>
    </row>
    <row r="95" spans="1:18" s="98" customFormat="1" x14ac:dyDescent="0.25">
      <c r="A95" s="69"/>
      <c r="B95" s="80"/>
      <c r="C95" s="150"/>
      <c r="D95" s="88"/>
      <c r="E95" s="127"/>
      <c r="F95" s="127"/>
      <c r="G95" s="127"/>
      <c r="H95" s="127"/>
      <c r="I95" s="127"/>
      <c r="J95" s="127"/>
      <c r="K95" s="127"/>
      <c r="L95" s="127"/>
      <c r="M95" s="127"/>
      <c r="N95" s="127"/>
      <c r="O95" s="127"/>
      <c r="P95" s="127"/>
      <c r="Q95" s="127"/>
      <c r="R95" s="127"/>
    </row>
    <row r="96" spans="1:18" s="98" customFormat="1" x14ac:dyDescent="0.25">
      <c r="A96" s="69"/>
      <c r="B96" s="80" t="s">
        <v>186</v>
      </c>
      <c r="C96" s="150"/>
      <c r="D96" s="88"/>
      <c r="E96" s="127"/>
      <c r="F96" s="127"/>
      <c r="G96" s="127"/>
      <c r="H96" s="127"/>
      <c r="I96" s="127"/>
      <c r="J96" s="127"/>
      <c r="K96" s="127"/>
      <c r="L96" s="127"/>
      <c r="M96" s="127"/>
      <c r="N96" s="127"/>
      <c r="O96" s="127"/>
      <c r="P96" s="127"/>
      <c r="Q96" s="127"/>
      <c r="R96" s="127"/>
    </row>
    <row r="97" spans="1:18" s="98" customFormat="1" x14ac:dyDescent="0.25">
      <c r="A97" s="69"/>
      <c r="B97" s="80"/>
      <c r="C97" s="150"/>
      <c r="D97" s="88"/>
      <c r="E97" s="281" t="str">
        <f>InpR!E$70</f>
        <v>CPI(H): April - index - actual (including forecast)</v>
      </c>
      <c r="F97" s="281"/>
      <c r="G97" s="281" t="str">
        <f>InpR!G$70</f>
        <v>index</v>
      </c>
      <c r="H97" s="281" t="str">
        <f>InpR!I$70</f>
        <v>ONS, CPIH INDEX 00: ALL ITEMS 2015=100</v>
      </c>
      <c r="I97" s="281" t="e">
        <f>InpR!#REF!</f>
        <v>#REF!</v>
      </c>
      <c r="J97" s="281">
        <f>InpR!J$70</f>
        <v>103.2</v>
      </c>
      <c r="K97" s="281">
        <f>InpR!K$70</f>
        <v>105.5</v>
      </c>
      <c r="L97" s="281">
        <f>InpR!L$70</f>
        <v>107.6</v>
      </c>
      <c r="M97" s="281">
        <f>InpR!M$70</f>
        <v>108.6</v>
      </c>
      <c r="N97" s="281">
        <f>InpR!N$70</f>
        <v>110.4</v>
      </c>
      <c r="O97" s="281">
        <f>InpR!O$70</f>
        <v>119</v>
      </c>
      <c r="P97" s="281">
        <f>InpR!P$70</f>
        <v>128.80000000000001</v>
      </c>
      <c r="Q97" s="281">
        <f>InpR!Q$70</f>
        <v>133.9</v>
      </c>
      <c r="R97" s="281">
        <f>InpR!R$70</f>
        <v>136.578</v>
      </c>
    </row>
    <row r="98" spans="1:18" s="98" customFormat="1" x14ac:dyDescent="0.25">
      <c r="A98" s="69"/>
      <c r="B98" s="80"/>
      <c r="C98" s="150"/>
      <c r="D98" s="88"/>
      <c r="E98" s="281" t="str">
        <f>InpR!E$71</f>
        <v>CPI(H): May - index - actual (including forecast)</v>
      </c>
      <c r="F98" s="281"/>
      <c r="G98" s="281" t="str">
        <f>InpR!G$71</f>
        <v>index</v>
      </c>
      <c r="H98" s="281" t="str">
        <f>InpR!I$71</f>
        <v>ONS, CPIH INDEX 00: ALL ITEMS 2015=100</v>
      </c>
      <c r="I98" s="281" t="e">
        <f>InpR!#REF!</f>
        <v>#REF!</v>
      </c>
      <c r="J98" s="281">
        <f>InpR!J$71</f>
        <v>103.5</v>
      </c>
      <c r="K98" s="281">
        <f>InpR!K$71</f>
        <v>105.9</v>
      </c>
      <c r="L98" s="281">
        <f>InpR!L$71</f>
        <v>107.9</v>
      </c>
      <c r="M98" s="281">
        <f>InpR!M$71</f>
        <v>108.6</v>
      </c>
      <c r="N98" s="281">
        <f>InpR!N$71</f>
        <v>111</v>
      </c>
      <c r="O98" s="281">
        <f>InpR!O$71</f>
        <v>119.7</v>
      </c>
      <c r="P98" s="281">
        <f>InpR!P$71</f>
        <v>129.5</v>
      </c>
      <c r="Q98" s="281">
        <f>InpR!Q$71</f>
        <v>134.69999999999999</v>
      </c>
      <c r="R98" s="281">
        <f>InpR!R$71</f>
        <v>137.39399999999998</v>
      </c>
    </row>
    <row r="99" spans="1:18" s="98" customFormat="1" x14ac:dyDescent="0.25">
      <c r="A99" s="69"/>
      <c r="B99" s="80"/>
      <c r="C99" s="150"/>
      <c r="D99" s="88"/>
      <c r="E99" s="281" t="str">
        <f>InpR!E$72</f>
        <v>CPI(H): June - index - actual (including forecast)</v>
      </c>
      <c r="F99" s="281"/>
      <c r="G99" s="281" t="str">
        <f>InpR!G$72</f>
        <v>index</v>
      </c>
      <c r="H99" s="281" t="str">
        <f>InpR!I$72</f>
        <v>ONS, CPIH INDEX 00: ALL ITEMS 2015=100</v>
      </c>
      <c r="I99" s="281" t="e">
        <f>InpR!#REF!</f>
        <v>#REF!</v>
      </c>
      <c r="J99" s="281">
        <f>InpR!J$72</f>
        <v>103.5</v>
      </c>
      <c r="K99" s="281">
        <f>InpR!K$72</f>
        <v>105.9</v>
      </c>
      <c r="L99" s="281">
        <f>InpR!L$72</f>
        <v>107.9</v>
      </c>
      <c r="M99" s="281">
        <f>InpR!M$72</f>
        <v>108.8</v>
      </c>
      <c r="N99" s="281">
        <f>InpR!N$72</f>
        <v>111.4</v>
      </c>
      <c r="O99" s="281">
        <f>InpR!O$72</f>
        <v>120.5</v>
      </c>
      <c r="P99" s="281">
        <f>InpR!P$72</f>
        <v>130.4</v>
      </c>
      <c r="Q99" s="281">
        <f>InpR!Q$72</f>
        <v>135.6</v>
      </c>
      <c r="R99" s="281">
        <f>InpR!R$72</f>
        <v>138.31199999999998</v>
      </c>
    </row>
    <row r="100" spans="1:18" s="98" customFormat="1" x14ac:dyDescent="0.25">
      <c r="A100" s="69"/>
      <c r="B100" s="80"/>
      <c r="C100" s="150"/>
      <c r="D100" s="88"/>
      <c r="E100" s="281" t="str">
        <f>InpR!E$73</f>
        <v>CPI(H): July - index - actual (including forecast)</v>
      </c>
      <c r="F100" s="281"/>
      <c r="G100" s="281" t="str">
        <f>InpR!G$73</f>
        <v>index</v>
      </c>
      <c r="H100" s="281" t="str">
        <f>InpR!I$73</f>
        <v>ONS, CPIH INDEX 00: ALL ITEMS 2015=100</v>
      </c>
      <c r="I100" s="281" t="e">
        <f>InpR!#REF!</f>
        <v>#REF!</v>
      </c>
      <c r="J100" s="281">
        <f>InpR!J$73</f>
        <v>103.5</v>
      </c>
      <c r="K100" s="281">
        <f>InpR!K$73</f>
        <v>105.9</v>
      </c>
      <c r="L100" s="281">
        <f>InpR!L$73</f>
        <v>108</v>
      </c>
      <c r="M100" s="281">
        <f>InpR!M$73</f>
        <v>109.2</v>
      </c>
      <c r="N100" s="281">
        <f>InpR!N$73</f>
        <v>111.4</v>
      </c>
      <c r="O100" s="281">
        <f>InpR!O$73</f>
        <v>121.2</v>
      </c>
      <c r="P100" s="281">
        <f>InpR!P$73</f>
        <v>129.6</v>
      </c>
      <c r="Q100" s="281">
        <f>InpR!Q$73</f>
        <v>134.4</v>
      </c>
      <c r="R100" s="281">
        <f>InpR!R$73</f>
        <v>137.08800000000002</v>
      </c>
    </row>
    <row r="101" spans="1:18" s="98" customFormat="1" x14ac:dyDescent="0.25">
      <c r="A101" s="69"/>
      <c r="B101" s="80"/>
      <c r="C101" s="150"/>
      <c r="D101" s="88"/>
      <c r="E101" s="281" t="str">
        <f>InpR!E$74</f>
        <v>CPI(H): August - index - actual (including forecast)</v>
      </c>
      <c r="F101" s="281"/>
      <c r="G101" s="281" t="str">
        <f>InpR!G$74</f>
        <v>index</v>
      </c>
      <c r="H101" s="281" t="str">
        <f>InpR!I$74</f>
        <v>ONS, CPIH INDEX 00: ALL ITEMS 2015=100</v>
      </c>
      <c r="I101" s="281" t="e">
        <f>InpR!#REF!</f>
        <v>#REF!</v>
      </c>
      <c r="J101" s="281">
        <f>InpR!J$74</f>
        <v>104</v>
      </c>
      <c r="K101" s="281">
        <f>InpR!K$74</f>
        <v>106.5</v>
      </c>
      <c r="L101" s="281">
        <f>InpR!L$74</f>
        <v>108.3</v>
      </c>
      <c r="M101" s="281">
        <f>InpR!M$74</f>
        <v>108.8</v>
      </c>
      <c r="N101" s="281">
        <f>InpR!N$74</f>
        <v>112.1</v>
      </c>
      <c r="O101" s="281">
        <f>InpR!O$74</f>
        <v>121.8</v>
      </c>
      <c r="P101" s="281">
        <f>InpR!P$74</f>
        <v>130.30000000000001</v>
      </c>
      <c r="Q101" s="281">
        <f>InpR!Q$74</f>
        <v>135.1</v>
      </c>
      <c r="R101" s="281">
        <f>InpR!R$74</f>
        <v>137.80199999999999</v>
      </c>
    </row>
    <row r="102" spans="1:18" s="98" customFormat="1" x14ac:dyDescent="0.25">
      <c r="A102" s="69"/>
      <c r="B102" s="80"/>
      <c r="C102" s="150"/>
      <c r="D102" s="88"/>
      <c r="E102" s="281" t="str">
        <f>InpR!E$75</f>
        <v>CPI(H): September - index - actual (including forecast)</v>
      </c>
      <c r="F102" s="281"/>
      <c r="G102" s="281" t="str">
        <f>InpR!G$75</f>
        <v>index</v>
      </c>
      <c r="H102" s="281" t="str">
        <f>InpR!I$75</f>
        <v>ONS, CPIH INDEX 00: ALL ITEMS 2015=100</v>
      </c>
      <c r="I102" s="281" t="e">
        <f>InpR!#REF!</f>
        <v>#REF!</v>
      </c>
      <c r="J102" s="281">
        <f>InpR!J$75</f>
        <v>104.3</v>
      </c>
      <c r="K102" s="281">
        <f>InpR!K$75</f>
        <v>106.6</v>
      </c>
      <c r="L102" s="281">
        <f>InpR!L$75</f>
        <v>108.4</v>
      </c>
      <c r="M102" s="281">
        <f>InpR!M$75</f>
        <v>109.2</v>
      </c>
      <c r="N102" s="281">
        <f>InpR!N$75</f>
        <v>112.4</v>
      </c>
      <c r="O102" s="281">
        <f>InpR!O$75</f>
        <v>122.3</v>
      </c>
      <c r="P102" s="281">
        <f>InpR!P$75</f>
        <v>130.80000000000001</v>
      </c>
      <c r="Q102" s="281">
        <f>InpR!Q$75</f>
        <v>135.69999999999999</v>
      </c>
      <c r="R102" s="281">
        <f>InpR!R$75</f>
        <v>138.41399999999999</v>
      </c>
    </row>
    <row r="103" spans="1:18" s="98" customFormat="1" x14ac:dyDescent="0.25">
      <c r="A103" s="69"/>
      <c r="B103" s="80"/>
      <c r="C103" s="150"/>
      <c r="D103" s="88"/>
      <c r="E103" s="281" t="str">
        <f>InpR!E$76</f>
        <v>CPI(H): October - index - actual (including forecast)</v>
      </c>
      <c r="F103" s="281"/>
      <c r="G103" s="281" t="str">
        <f>InpR!G$76</f>
        <v>index</v>
      </c>
      <c r="H103" s="281" t="str">
        <f>InpR!I$76</f>
        <v>ONS, CPIH INDEX 00: ALL ITEMS 2015=100</v>
      </c>
      <c r="I103" s="281" t="e">
        <f>InpR!#REF!</f>
        <v>#REF!</v>
      </c>
      <c r="J103" s="281">
        <f>InpR!J$76</f>
        <v>104.4</v>
      </c>
      <c r="K103" s="281">
        <f>InpR!K$76</f>
        <v>106.7</v>
      </c>
      <c r="L103" s="281">
        <f>InpR!L$76</f>
        <v>108.3</v>
      </c>
      <c r="M103" s="281">
        <f>InpR!M$76</f>
        <v>109.2</v>
      </c>
      <c r="N103" s="281">
        <f>InpR!N$76</f>
        <v>113.4</v>
      </c>
      <c r="O103" s="281">
        <f>InpR!O$76</f>
        <v>124.3</v>
      </c>
      <c r="P103" s="281">
        <f>InpR!P$76</f>
        <v>130.9</v>
      </c>
      <c r="Q103" s="281">
        <f>InpR!Q$76</f>
        <v>134.9</v>
      </c>
      <c r="R103" s="281">
        <f>InpR!R$76</f>
        <v>137.59800000000001</v>
      </c>
    </row>
    <row r="104" spans="1:18" s="98" customFormat="1" x14ac:dyDescent="0.25">
      <c r="A104" s="69"/>
      <c r="B104" s="80"/>
      <c r="C104" s="150"/>
      <c r="D104" s="88"/>
      <c r="E104" s="281" t="str">
        <f>InpR!E$77</f>
        <v>CPI(H): November - index - actual (including forecast)</v>
      </c>
      <c r="F104" s="281"/>
      <c r="G104" s="281" t="str">
        <f>InpR!G$77</f>
        <v>index</v>
      </c>
      <c r="H104" s="281" t="str">
        <f>InpR!I$77</f>
        <v>ONS, CPIH INDEX 00: ALL ITEMS 2015=100</v>
      </c>
      <c r="I104" s="281" t="e">
        <f>InpR!#REF!</f>
        <v>#REF!</v>
      </c>
      <c r="J104" s="281">
        <f>InpR!J$77</f>
        <v>104.7</v>
      </c>
      <c r="K104" s="281">
        <f>InpR!K$77</f>
        <v>106.9</v>
      </c>
      <c r="L104" s="281">
        <f>InpR!L$77</f>
        <v>108.5</v>
      </c>
      <c r="M104" s="281">
        <f>InpR!M$77</f>
        <v>109.1</v>
      </c>
      <c r="N104" s="281">
        <f>InpR!N$77</f>
        <v>114.1</v>
      </c>
      <c r="O104" s="281">
        <f>InpR!O$77</f>
        <v>124.8</v>
      </c>
      <c r="P104" s="281">
        <f>InpR!P$77</f>
        <v>131.4</v>
      </c>
      <c r="Q104" s="281">
        <f>InpR!Q$77</f>
        <v>135.4</v>
      </c>
      <c r="R104" s="281">
        <f>InpR!R$77</f>
        <v>138.108</v>
      </c>
    </row>
    <row r="105" spans="1:18" s="98" customFormat="1" x14ac:dyDescent="0.25">
      <c r="A105" s="69"/>
      <c r="B105" s="80"/>
      <c r="C105" s="150"/>
      <c r="D105" s="88"/>
      <c r="E105" s="281" t="str">
        <f>InpR!E$78</f>
        <v>CPI(H): December - index - actual (including forecast)</v>
      </c>
      <c r="F105" s="281"/>
      <c r="G105" s="281" t="str">
        <f>InpR!G$78</f>
        <v>index</v>
      </c>
      <c r="H105" s="281" t="str">
        <f>InpR!I$78</f>
        <v>ONS, CPIH INDEX 00: ALL ITEMS 2015=100</v>
      </c>
      <c r="I105" s="281" t="e">
        <f>InpR!#REF!</f>
        <v>#REF!</v>
      </c>
      <c r="J105" s="281">
        <f>InpR!J$78</f>
        <v>105</v>
      </c>
      <c r="K105" s="281">
        <f>InpR!K$78</f>
        <v>107.1</v>
      </c>
      <c r="L105" s="281">
        <f>InpR!L$78</f>
        <v>108.5</v>
      </c>
      <c r="M105" s="281">
        <f>InpR!M$78</f>
        <v>109.4</v>
      </c>
      <c r="N105" s="281">
        <f>InpR!N$78</f>
        <v>114.7</v>
      </c>
      <c r="O105" s="281">
        <f>InpR!O$78</f>
        <v>125.3</v>
      </c>
      <c r="P105" s="281">
        <f>InpR!P$78</f>
        <v>132</v>
      </c>
      <c r="Q105" s="281">
        <f>InpR!Q$78</f>
        <v>136.1</v>
      </c>
      <c r="R105" s="281">
        <f>InpR!R$78</f>
        <v>138.822</v>
      </c>
    </row>
    <row r="106" spans="1:18" s="98" customFormat="1" x14ac:dyDescent="0.25">
      <c r="A106" s="69"/>
      <c r="B106" s="80"/>
      <c r="C106" s="150"/>
      <c r="D106" s="88"/>
      <c r="E106" s="281" t="str">
        <f>InpR!E$79</f>
        <v>CPI(H): January - index - actual (including forecast)</v>
      </c>
      <c r="F106" s="281"/>
      <c r="G106" s="281" t="str">
        <f>InpR!G$79</f>
        <v>index</v>
      </c>
      <c r="H106" s="281" t="str">
        <f>InpR!I$79</f>
        <v>ONS, CPIH INDEX 00: ALL ITEMS 2015=100</v>
      </c>
      <c r="I106" s="281" t="e">
        <f>InpR!#REF!</f>
        <v>#REF!</v>
      </c>
      <c r="J106" s="281">
        <f>InpR!J$79</f>
        <v>104.5</v>
      </c>
      <c r="K106" s="281">
        <f>InpR!K$79</f>
        <v>106.4</v>
      </c>
      <c r="L106" s="281">
        <f>InpR!L$79</f>
        <v>108.3</v>
      </c>
      <c r="M106" s="281">
        <f>InpR!M$79</f>
        <v>109.3</v>
      </c>
      <c r="N106" s="281">
        <f>InpR!N$79</f>
        <v>114.6</v>
      </c>
      <c r="O106" s="281">
        <f>InpR!O$79</f>
        <v>124.8</v>
      </c>
      <c r="P106" s="281">
        <f>InpR!P$79</f>
        <v>130.80000000000001</v>
      </c>
      <c r="Q106" s="281">
        <f>InpR!Q$79</f>
        <v>133.80000000000001</v>
      </c>
      <c r="R106" s="281">
        <f>InpR!R$79</f>
        <v>136.47600000000003</v>
      </c>
    </row>
    <row r="107" spans="1:18" s="98" customFormat="1" x14ac:dyDescent="0.25">
      <c r="A107" s="69"/>
      <c r="B107" s="80"/>
      <c r="C107" s="150"/>
      <c r="D107" s="88"/>
      <c r="E107" s="281" t="str">
        <f>InpR!E$80</f>
        <v>CPI(H): February - index - actual (including forecast)</v>
      </c>
      <c r="F107" s="281"/>
      <c r="G107" s="281" t="str">
        <f>InpR!G$80</f>
        <v>index</v>
      </c>
      <c r="H107" s="281" t="str">
        <f>InpR!I$80</f>
        <v>ONS, CPIH INDEX 00: ALL ITEMS 2015=100</v>
      </c>
      <c r="I107" s="281" t="e">
        <f>InpR!#REF!</f>
        <v>#REF!</v>
      </c>
      <c r="J107" s="281">
        <f>InpR!J$80</f>
        <v>104.9</v>
      </c>
      <c r="K107" s="281">
        <f>InpR!K$80</f>
        <v>106.8</v>
      </c>
      <c r="L107" s="281">
        <f>InpR!L$80</f>
        <v>108.6</v>
      </c>
      <c r="M107" s="281">
        <f>InpR!M$80</f>
        <v>109.4</v>
      </c>
      <c r="N107" s="281">
        <f>InpR!N$80</f>
        <v>115.4</v>
      </c>
      <c r="O107" s="281">
        <f>InpR!O$80</f>
        <v>126</v>
      </c>
      <c r="P107" s="281">
        <f>InpR!P$80</f>
        <v>132.1</v>
      </c>
      <c r="Q107" s="281">
        <f>InpR!Q$80</f>
        <v>135.19999999999999</v>
      </c>
      <c r="R107" s="281">
        <f>InpR!R$80</f>
        <v>137.904</v>
      </c>
    </row>
    <row r="108" spans="1:18" s="98" customFormat="1" x14ac:dyDescent="0.25">
      <c r="A108" s="69"/>
      <c r="B108" s="80"/>
      <c r="C108" s="150"/>
      <c r="D108" s="88"/>
      <c r="E108" s="281" t="str">
        <f>InpR!E$81</f>
        <v>CPI(H): March - index - actual (including forecast)</v>
      </c>
      <c r="F108" s="281"/>
      <c r="G108" s="281" t="str">
        <f>InpR!G$81</f>
        <v>index</v>
      </c>
      <c r="H108" s="281" t="str">
        <f>InpR!I$81</f>
        <v>ONS, CPIH INDEX 00: ALL ITEMS 2015=100</v>
      </c>
      <c r="I108" s="281" t="e">
        <f>InpR!#REF!</f>
        <v>#REF!</v>
      </c>
      <c r="J108" s="281">
        <f>InpR!J$81</f>
        <v>105.1</v>
      </c>
      <c r="K108" s="281">
        <f>InpR!K$81</f>
        <v>107</v>
      </c>
      <c r="L108" s="281">
        <f>InpR!L$81</f>
        <v>108.6</v>
      </c>
      <c r="M108" s="281">
        <f>InpR!M$81</f>
        <v>109.7</v>
      </c>
      <c r="N108" s="281">
        <f>InpR!N$81</f>
        <v>116.5</v>
      </c>
      <c r="O108" s="281">
        <f>InpR!O$81</f>
        <v>126.8</v>
      </c>
      <c r="P108" s="281">
        <f>InpR!P$81</f>
        <v>132.9</v>
      </c>
      <c r="Q108" s="281">
        <f>InpR!Q$81</f>
        <v>136</v>
      </c>
      <c r="R108" s="281">
        <f>InpR!R$81</f>
        <v>138.72</v>
      </c>
    </row>
    <row r="109" spans="1:18" s="98" customFormat="1" x14ac:dyDescent="0.25">
      <c r="A109" s="86"/>
      <c r="B109" s="87"/>
      <c r="C109" s="142"/>
      <c r="D109" s="88"/>
      <c r="E109" s="127"/>
      <c r="G109" s="49"/>
    </row>
    <row r="110" spans="1:18" s="98" customFormat="1" x14ac:dyDescent="0.25">
      <c r="A110" s="69"/>
      <c r="B110" s="80"/>
      <c r="C110" s="150"/>
      <c r="D110" s="74"/>
      <c r="E110" s="125" t="s">
        <v>251</v>
      </c>
      <c r="F110" s="125"/>
      <c r="G110" s="125" t="s">
        <v>188</v>
      </c>
      <c r="H110" s="56"/>
      <c r="I110" s="56"/>
      <c r="J110" s="280">
        <f xml:space="preserve"> SUM(J97:J108) / 12</f>
        <v>104.21666666666665</v>
      </c>
      <c r="K110" s="280">
        <f t="shared" ref="K110:R110" si="35" xml:space="preserve"> SUM(K97:K108) / 12</f>
        <v>106.43333333333334</v>
      </c>
      <c r="L110" s="280">
        <f t="shared" si="35"/>
        <v>108.24166666666663</v>
      </c>
      <c r="M110" s="280">
        <f t="shared" si="35"/>
        <v>109.10833333333335</v>
      </c>
      <c r="N110" s="280">
        <f t="shared" si="35"/>
        <v>113.11666666666667</v>
      </c>
      <c r="O110" s="280">
        <f t="shared" si="35"/>
        <v>123.04166666666664</v>
      </c>
      <c r="P110" s="280">
        <f t="shared" si="35"/>
        <v>130.79166666666666</v>
      </c>
      <c r="Q110" s="280">
        <f t="shared" si="35"/>
        <v>135.06666666666666</v>
      </c>
      <c r="R110" s="280">
        <f t="shared" si="35"/>
        <v>137.768</v>
      </c>
    </row>
    <row r="111" spans="1:18" s="98" customFormat="1" x14ac:dyDescent="0.25">
      <c r="A111" s="69"/>
      <c r="B111" s="80"/>
      <c r="C111" s="150"/>
      <c r="D111" s="74"/>
      <c r="E111" s="125" t="s">
        <v>252</v>
      </c>
      <c r="F111" s="125"/>
      <c r="G111" s="125" t="s">
        <v>94</v>
      </c>
      <c r="H111" s="56"/>
      <c r="I111" s="56"/>
      <c r="J111" s="282">
        <f xml:space="preserve"> IF(I$110 = 0, 0, J$110 / $J$110)</f>
        <v>0</v>
      </c>
      <c r="K111" s="282">
        <f t="shared" ref="K111:R111" si="36" xml:space="preserve"> IF(J$110 = 0, 0, K$110 / $J$110)</f>
        <v>1.0212697905005599</v>
      </c>
      <c r="L111" s="282">
        <f t="shared" si="36"/>
        <v>1.0386214616983847</v>
      </c>
      <c r="M111" s="282">
        <f t="shared" si="36"/>
        <v>1.0469374700143934</v>
      </c>
      <c r="N111" s="282">
        <f t="shared" si="36"/>
        <v>1.0853990084759317</v>
      </c>
      <c r="O111" s="282">
        <f t="shared" si="36"/>
        <v>1.1806332960179113</v>
      </c>
      <c r="P111" s="282">
        <f t="shared" si="36"/>
        <v>1.2549976011514474</v>
      </c>
      <c r="Q111" s="282">
        <f t="shared" si="36"/>
        <v>1.296017911402527</v>
      </c>
      <c r="R111" s="282">
        <f t="shared" si="36"/>
        <v>1.3219382696305775</v>
      </c>
    </row>
    <row r="112" spans="1:18" s="98" customFormat="1" x14ac:dyDescent="0.25">
      <c r="A112" s="69"/>
      <c r="B112" s="80"/>
      <c r="C112" s="150"/>
      <c r="D112" s="74"/>
      <c r="E112" s="125" t="s">
        <v>253</v>
      </c>
      <c r="F112" s="56"/>
      <c r="G112" s="125" t="s">
        <v>94</v>
      </c>
      <c r="H112" s="56"/>
      <c r="I112" s="56"/>
      <c r="J112" s="282">
        <f xml:space="preserve"> IF(I$110 = 0, 0, J$110 / I$110 - 1)</f>
        <v>0</v>
      </c>
      <c r="K112" s="282">
        <f t="shared" ref="K112:R112" si="37" xml:space="preserve"> IF(J$110 = 0, 0, K$110 / J$110 - 1)</f>
        <v>2.1269790500559882E-2</v>
      </c>
      <c r="L112" s="282">
        <f t="shared" si="37"/>
        <v>1.6990291262135582E-2</v>
      </c>
      <c r="M112" s="282">
        <f t="shared" si="37"/>
        <v>8.0067749634311625E-3</v>
      </c>
      <c r="N112" s="282">
        <f t="shared" si="37"/>
        <v>3.6737187810280236E-2</v>
      </c>
      <c r="O112" s="282">
        <f t="shared" si="37"/>
        <v>8.7741270075143429E-2</v>
      </c>
      <c r="P112" s="282">
        <f t="shared" si="37"/>
        <v>6.2986793091771132E-2</v>
      </c>
      <c r="Q112" s="282">
        <f t="shared" si="37"/>
        <v>3.2685568652437214E-2</v>
      </c>
      <c r="R112" s="282">
        <f t="shared" si="37"/>
        <v>2.0000000000000018E-2</v>
      </c>
    </row>
    <row r="113" spans="1:18" s="98" customFormat="1" x14ac:dyDescent="0.25">
      <c r="A113" s="69"/>
      <c r="B113" s="80"/>
      <c r="C113" s="150"/>
      <c r="D113" s="74"/>
      <c r="E113" s="56"/>
      <c r="F113" s="56"/>
      <c r="G113" s="56"/>
      <c r="H113" s="56"/>
      <c r="I113" s="56"/>
      <c r="J113" s="56"/>
      <c r="K113" s="56"/>
      <c r="L113" s="56"/>
      <c r="M113" s="56"/>
      <c r="N113" s="56"/>
      <c r="O113" s="56"/>
      <c r="P113" s="56"/>
      <c r="Q113" s="56"/>
      <c r="R113" s="56"/>
    </row>
    <row r="114" spans="1:18" s="98" customFormat="1" x14ac:dyDescent="0.25">
      <c r="A114" s="69"/>
      <c r="B114" s="80"/>
      <c r="C114" s="150"/>
      <c r="D114" s="74"/>
      <c r="E114" s="125" t="str">
        <f>E$108</f>
        <v>CPI(H): March - index - actual (including forecast)</v>
      </c>
      <c r="F114" s="125"/>
      <c r="G114" s="125" t="str">
        <f t="shared" ref="G114:H114" si="38">G$108</f>
        <v>index</v>
      </c>
      <c r="H114" s="125" t="str">
        <f t="shared" si="38"/>
        <v>ONS, CPIH INDEX 00: ALL ITEMS 2015=100</v>
      </c>
      <c r="I114" s="125"/>
      <c r="J114" s="125">
        <f t="shared" ref="J114:R114" si="39">J$108</f>
        <v>105.1</v>
      </c>
      <c r="K114" s="125">
        <f t="shared" si="39"/>
        <v>107</v>
      </c>
      <c r="L114" s="125">
        <f t="shared" si="39"/>
        <v>108.6</v>
      </c>
      <c r="M114" s="125">
        <f t="shared" si="39"/>
        <v>109.7</v>
      </c>
      <c r="N114" s="125">
        <f t="shared" si="39"/>
        <v>116.5</v>
      </c>
      <c r="O114" s="125">
        <f t="shared" si="39"/>
        <v>126.8</v>
      </c>
      <c r="P114" s="125">
        <f t="shared" si="39"/>
        <v>132.9</v>
      </c>
      <c r="Q114" s="125">
        <f t="shared" si="39"/>
        <v>136</v>
      </c>
      <c r="R114" s="125">
        <f t="shared" si="39"/>
        <v>138.72</v>
      </c>
    </row>
    <row r="115" spans="1:18" s="98" customFormat="1" x14ac:dyDescent="0.25">
      <c r="A115" s="69"/>
      <c r="B115" s="80"/>
      <c r="C115" s="150"/>
      <c r="D115" s="74"/>
      <c r="E115" s="125" t="str">
        <f>E$110</f>
        <v>CPI(H): Financial year average - index - actual (including forecast)</v>
      </c>
      <c r="F115" s="125"/>
      <c r="G115" s="125" t="str">
        <f t="shared" ref="G115:H115" si="40">G$110</f>
        <v>index</v>
      </c>
      <c r="H115" s="125">
        <f t="shared" si="40"/>
        <v>0</v>
      </c>
      <c r="I115" s="125"/>
      <c r="J115" s="125">
        <f t="shared" ref="J115:R115" si="41">J$110</f>
        <v>104.21666666666665</v>
      </c>
      <c r="K115" s="125">
        <f t="shared" si="41"/>
        <v>106.43333333333334</v>
      </c>
      <c r="L115" s="125">
        <f t="shared" si="41"/>
        <v>108.24166666666663</v>
      </c>
      <c r="M115" s="125">
        <f t="shared" si="41"/>
        <v>109.10833333333335</v>
      </c>
      <c r="N115" s="125">
        <f t="shared" si="41"/>
        <v>113.11666666666667</v>
      </c>
      <c r="O115" s="125">
        <f t="shared" si="41"/>
        <v>123.04166666666664</v>
      </c>
      <c r="P115" s="125">
        <f t="shared" si="41"/>
        <v>130.79166666666666</v>
      </c>
      <c r="Q115" s="125">
        <f t="shared" si="41"/>
        <v>135.06666666666666</v>
      </c>
      <c r="R115" s="125">
        <f t="shared" si="41"/>
        <v>137.768</v>
      </c>
    </row>
    <row r="116" spans="1:18" s="98" customFormat="1" x14ac:dyDescent="0.25">
      <c r="A116" s="69"/>
      <c r="B116" s="283"/>
      <c r="C116" s="283"/>
      <c r="D116" s="283"/>
      <c r="E116" s="284" t="str">
        <f>Time!E$46</f>
        <v>1st Forecast Period Flag</v>
      </c>
      <c r="F116" s="284"/>
      <c r="G116" s="284" t="str">
        <f>Time!G$46</f>
        <v>flag</v>
      </c>
      <c r="H116" s="284">
        <f>Time!H$46</f>
        <v>1</v>
      </c>
      <c r="I116" s="284">
        <f>Time!I$46</f>
        <v>0</v>
      </c>
      <c r="J116" s="284">
        <f>Time!J$46</f>
        <v>0</v>
      </c>
      <c r="K116" s="284">
        <f>Time!K$46</f>
        <v>0</v>
      </c>
      <c r="L116" s="284">
        <f>Time!L$46</f>
        <v>0</v>
      </c>
      <c r="M116" s="284">
        <f>Time!M$46</f>
        <v>1</v>
      </c>
      <c r="N116" s="284">
        <f>Time!N$46</f>
        <v>0</v>
      </c>
      <c r="O116" s="284">
        <f>Time!O$46</f>
        <v>0</v>
      </c>
      <c r="P116" s="284">
        <f>Time!P$46</f>
        <v>0</v>
      </c>
      <c r="Q116" s="284">
        <f>Time!Q$46</f>
        <v>0</v>
      </c>
      <c r="R116" s="284">
        <f>Time!R$46</f>
        <v>0</v>
      </c>
    </row>
    <row r="117" spans="1:18" s="98" customFormat="1" x14ac:dyDescent="0.25">
      <c r="A117" s="69"/>
      <c r="B117" s="80"/>
      <c r="C117" s="150"/>
      <c r="D117" s="74"/>
      <c r="E117" s="125" t="s">
        <v>254</v>
      </c>
      <c r="F117" s="56"/>
      <c r="G117" s="125" t="s">
        <v>94</v>
      </c>
      <c r="H117" s="56"/>
      <c r="I117" s="56"/>
      <c r="J117" s="282">
        <f xml:space="preserve"> IFERROR((J115 / I114 - 1) * J116, 0)</f>
        <v>0</v>
      </c>
      <c r="K117" s="282">
        <f t="shared" ref="K117" si="42" xml:space="preserve"> IFERROR((K115 / J114 - 1) * K116, 0)</f>
        <v>0</v>
      </c>
      <c r="L117" s="282">
        <f t="shared" ref="L117" si="43" xml:space="preserve"> IFERROR((L115 / K114 - 1) * L116, 0)</f>
        <v>0</v>
      </c>
      <c r="M117" s="282">
        <f xml:space="preserve"> IFERROR((M115 / L114 - 1) * M116, 0)</f>
        <v>4.6807857581339096E-3</v>
      </c>
      <c r="N117" s="282">
        <f t="shared" ref="N117" si="44" xml:space="preserve"> IFERROR((N115 / M114 - 1) * N116, 0)</f>
        <v>0</v>
      </c>
      <c r="O117" s="282">
        <f t="shared" ref="O117" si="45" xml:space="preserve"> IFERROR((O115 / N114 - 1) * O116, 0)</f>
        <v>0</v>
      </c>
      <c r="P117" s="282">
        <f t="shared" ref="P117" si="46" xml:space="preserve"> IFERROR((P115 / O114 - 1) * P116, 0)</f>
        <v>0</v>
      </c>
      <c r="Q117" s="282">
        <f t="shared" ref="Q117" si="47" xml:space="preserve"> IFERROR((Q115 / P114 - 1) * Q116, 0)</f>
        <v>0</v>
      </c>
      <c r="R117" s="282">
        <f t="shared" ref="R117" si="48" xml:space="preserve"> IFERROR((R115 / Q114 - 1) * R116, 0)</f>
        <v>0</v>
      </c>
    </row>
    <row r="118" spans="1:18" s="98" customFormat="1" x14ac:dyDescent="0.25">
      <c r="A118" s="69"/>
      <c r="B118" s="80"/>
      <c r="C118" s="150"/>
      <c r="D118" s="74"/>
      <c r="E118" s="56"/>
      <c r="F118" s="56"/>
      <c r="G118" s="56"/>
      <c r="H118" s="56"/>
      <c r="I118" s="56"/>
      <c r="J118" s="56"/>
      <c r="K118" s="56"/>
      <c r="L118" s="56"/>
      <c r="M118" s="56"/>
      <c r="N118" s="56"/>
      <c r="O118" s="56"/>
      <c r="P118" s="56"/>
      <c r="Q118" s="56"/>
      <c r="R118" s="56"/>
    </row>
    <row r="119" spans="1:18" s="98" customFormat="1" x14ac:dyDescent="0.25">
      <c r="A119" s="69"/>
      <c r="B119" s="80"/>
      <c r="C119" s="150"/>
      <c r="D119" s="74"/>
      <c r="E119" s="207" t="str">
        <f>E$94 &amp; " - actual (including forecast)"</f>
        <v>RPI Growth from 2019-20 FYE to 2020-21 FYA - actual (including forecast) - actual (including forecast)</v>
      </c>
      <c r="F119" s="56"/>
      <c r="G119" s="125" t="str">
        <f>G$94</f>
        <v>%</v>
      </c>
      <c r="H119" s="56"/>
      <c r="I119" s="56"/>
      <c r="J119" s="282">
        <f t="shared" ref="J119:R119" si="49">J$94</f>
        <v>0</v>
      </c>
      <c r="K119" s="282">
        <f t="shared" si="49"/>
        <v>0</v>
      </c>
      <c r="L119" s="282">
        <f t="shared" si="49"/>
        <v>0</v>
      </c>
      <c r="M119" s="354">
        <f t="shared" si="49"/>
        <v>5.3542948279790004E-3</v>
      </c>
      <c r="N119" s="282">
        <f t="shared" si="49"/>
        <v>0</v>
      </c>
      <c r="O119" s="282">
        <f t="shared" si="49"/>
        <v>0</v>
      </c>
      <c r="P119" s="282">
        <f t="shared" si="49"/>
        <v>0</v>
      </c>
      <c r="Q119" s="282">
        <f t="shared" si="49"/>
        <v>0</v>
      </c>
      <c r="R119" s="282">
        <f t="shared" si="49"/>
        <v>0</v>
      </c>
    </row>
    <row r="120" spans="1:18" s="98" customFormat="1" x14ac:dyDescent="0.25">
      <c r="A120" s="69"/>
      <c r="B120" s="80"/>
      <c r="C120" s="150"/>
      <c r="D120" s="74"/>
      <c r="E120" s="207" t="str">
        <f>E$117 &amp; " - actual (including forecast)"</f>
        <v>CPIH Growth from 2019-20 FYE to 2020-21 FYA - actual (including forecast) - actual (including forecast)</v>
      </c>
      <c r="F120" s="56"/>
      <c r="G120" s="125" t="str">
        <f>G$117</f>
        <v>%</v>
      </c>
      <c r="H120" s="56"/>
      <c r="I120" s="56"/>
      <c r="J120" s="282">
        <f t="shared" ref="J120:R120" si="50">J$117</f>
        <v>0</v>
      </c>
      <c r="K120" s="282">
        <f t="shared" si="50"/>
        <v>0</v>
      </c>
      <c r="L120" s="282">
        <f t="shared" si="50"/>
        <v>0</v>
      </c>
      <c r="M120" s="354">
        <f t="shared" si="50"/>
        <v>4.6807857581339096E-3</v>
      </c>
      <c r="N120" s="282">
        <f t="shared" si="50"/>
        <v>0</v>
      </c>
      <c r="O120" s="282">
        <f t="shared" si="50"/>
        <v>0</v>
      </c>
      <c r="P120" s="282">
        <f t="shared" si="50"/>
        <v>0</v>
      </c>
      <c r="Q120" s="282">
        <f t="shared" si="50"/>
        <v>0</v>
      </c>
      <c r="R120" s="282">
        <f t="shared" si="50"/>
        <v>0</v>
      </c>
    </row>
    <row r="121" spans="1:18" s="98" customFormat="1" x14ac:dyDescent="0.25">
      <c r="A121" s="69"/>
      <c r="B121" s="80"/>
      <c r="C121" s="150"/>
      <c r="D121" s="74"/>
      <c r="E121" s="207" t="s">
        <v>255</v>
      </c>
      <c r="F121" s="56"/>
      <c r="G121" s="125" t="s">
        <v>94</v>
      </c>
      <c r="H121" s="56"/>
      <c r="I121" s="56"/>
      <c r="J121" s="282">
        <f xml:space="preserve"> (1 + J$119) / (1 + J$120) - 1</f>
        <v>0</v>
      </c>
      <c r="K121" s="282">
        <f t="shared" ref="K121:R121" si="51" xml:space="preserve"> (1 + K$119) / (1 + K$120) - 1</f>
        <v>0</v>
      </c>
      <c r="L121" s="282">
        <f t="shared" si="51"/>
        <v>0</v>
      </c>
      <c r="M121" s="354">
        <f xml:space="preserve"> (1 + M$119) / (1 + M$120) - 1</f>
        <v>6.7037120585200505E-4</v>
      </c>
      <c r="N121" s="282">
        <f t="shared" si="51"/>
        <v>0</v>
      </c>
      <c r="O121" s="282">
        <f t="shared" si="51"/>
        <v>0</v>
      </c>
      <c r="P121" s="282">
        <f t="shared" si="51"/>
        <v>0</v>
      </c>
      <c r="Q121" s="282">
        <f t="shared" si="51"/>
        <v>0</v>
      </c>
      <c r="R121" s="282">
        <f t="shared" si="51"/>
        <v>0</v>
      </c>
    </row>
    <row r="122" spans="1:18" s="98" customFormat="1" x14ac:dyDescent="0.25">
      <c r="A122" s="69"/>
      <c r="B122" s="80"/>
      <c r="C122" s="150"/>
      <c r="D122" s="74"/>
      <c r="E122" s="56"/>
      <c r="F122" s="56"/>
      <c r="G122" s="56"/>
      <c r="H122" s="56"/>
      <c r="I122" s="56"/>
      <c r="J122" s="285"/>
      <c r="K122" s="285"/>
      <c r="L122" s="285"/>
      <c r="M122" s="285"/>
      <c r="N122" s="285"/>
      <c r="O122" s="285"/>
      <c r="P122" s="285"/>
      <c r="Q122" s="285"/>
      <c r="R122" s="285"/>
    </row>
    <row r="123" spans="1:18" s="98" customFormat="1" x14ac:dyDescent="0.25">
      <c r="A123" s="69"/>
      <c r="B123" s="80" t="s">
        <v>244</v>
      </c>
      <c r="C123" s="150"/>
      <c r="D123" s="74"/>
      <c r="E123" s="56"/>
      <c r="F123" s="56"/>
      <c r="G123" s="56"/>
      <c r="H123" s="56"/>
      <c r="I123" s="56"/>
      <c r="J123" s="285"/>
      <c r="K123" s="285"/>
      <c r="L123" s="285"/>
      <c r="M123" s="285"/>
      <c r="N123" s="285"/>
      <c r="O123" s="285"/>
      <c r="P123" s="285"/>
      <c r="Q123" s="285"/>
      <c r="R123" s="285"/>
    </row>
    <row r="124" spans="1:18" s="98" customFormat="1" x14ac:dyDescent="0.25">
      <c r="A124" s="69"/>
      <c r="B124" s="80"/>
      <c r="C124" s="150"/>
      <c r="D124" s="74"/>
      <c r="E124" s="207" t="str">
        <f>E$121</f>
        <v>Wedge between RPI and CPIH 2020-21 - actual (including forecast)</v>
      </c>
      <c r="F124" s="207"/>
      <c r="G124" s="207" t="str">
        <f t="shared" ref="G124:R124" si="52">G$121</f>
        <v>%</v>
      </c>
      <c r="H124" s="207">
        <f t="shared" si="52"/>
        <v>0</v>
      </c>
      <c r="I124" s="207">
        <f t="shared" si="52"/>
        <v>0</v>
      </c>
      <c r="J124" s="282">
        <f t="shared" si="52"/>
        <v>0</v>
      </c>
      <c r="K124" s="282">
        <f t="shared" si="52"/>
        <v>0</v>
      </c>
      <c r="L124" s="282">
        <f t="shared" si="52"/>
        <v>0</v>
      </c>
      <c r="M124" s="282">
        <f t="shared" si="52"/>
        <v>6.7037120585200505E-4</v>
      </c>
      <c r="N124" s="282">
        <f t="shared" si="52"/>
        <v>0</v>
      </c>
      <c r="O124" s="282">
        <f t="shared" si="52"/>
        <v>0</v>
      </c>
      <c r="P124" s="282">
        <f t="shared" si="52"/>
        <v>0</v>
      </c>
      <c r="Q124" s="282">
        <f t="shared" si="52"/>
        <v>0</v>
      </c>
      <c r="R124" s="282">
        <f t="shared" si="52"/>
        <v>0</v>
      </c>
    </row>
    <row r="125" spans="1:18" s="98" customFormat="1" x14ac:dyDescent="0.25">
      <c r="A125" s="69"/>
      <c r="B125" s="80"/>
      <c r="C125" s="150"/>
      <c r="D125" s="74"/>
      <c r="E125" s="207" t="str">
        <f>E$112</f>
        <v>CPI(H): Fin year average - percentage increase - actual (including forecast)</v>
      </c>
      <c r="F125" s="207"/>
      <c r="G125" s="207" t="str">
        <f t="shared" ref="G125:R125" si="53">G$112</f>
        <v>%</v>
      </c>
      <c r="H125" s="207">
        <f t="shared" si="53"/>
        <v>0</v>
      </c>
      <c r="I125" s="207">
        <f t="shared" si="53"/>
        <v>0</v>
      </c>
      <c r="J125" s="282">
        <f t="shared" si="53"/>
        <v>0</v>
      </c>
      <c r="K125" s="282">
        <f t="shared" si="53"/>
        <v>2.1269790500559882E-2</v>
      </c>
      <c r="L125" s="282">
        <f t="shared" si="53"/>
        <v>1.6990291262135582E-2</v>
      </c>
      <c r="M125" s="282">
        <f t="shared" si="53"/>
        <v>8.0067749634311625E-3</v>
      </c>
      <c r="N125" s="282">
        <f t="shared" si="53"/>
        <v>3.6737187810280236E-2</v>
      </c>
      <c r="O125" s="282">
        <f t="shared" si="53"/>
        <v>8.7741270075143429E-2</v>
      </c>
      <c r="P125" s="282">
        <f t="shared" si="53"/>
        <v>6.2986793091771132E-2</v>
      </c>
      <c r="Q125" s="282">
        <f t="shared" si="53"/>
        <v>3.2685568652437214E-2</v>
      </c>
      <c r="R125" s="282">
        <f t="shared" si="53"/>
        <v>2.0000000000000018E-2</v>
      </c>
    </row>
    <row r="126" spans="1:18" s="98" customFormat="1" x14ac:dyDescent="0.25">
      <c r="A126" s="69"/>
      <c r="B126" s="283"/>
      <c r="C126" s="283"/>
      <c r="D126" s="283"/>
      <c r="E126" s="284" t="str">
        <f>Time!E$46</f>
        <v>1st Forecast Period Flag</v>
      </c>
      <c r="F126" s="284"/>
      <c r="G126" s="284" t="str">
        <f>Time!G$46</f>
        <v>flag</v>
      </c>
      <c r="H126" s="284">
        <f>Time!H$46</f>
        <v>1</v>
      </c>
      <c r="I126" s="284">
        <f>Time!I$46</f>
        <v>0</v>
      </c>
      <c r="J126" s="284">
        <f>Time!J$46</f>
        <v>0</v>
      </c>
      <c r="K126" s="284">
        <f>Time!K$46</f>
        <v>0</v>
      </c>
      <c r="L126" s="284">
        <f>Time!L$46</f>
        <v>0</v>
      </c>
      <c r="M126" s="284">
        <f>Time!M$46</f>
        <v>1</v>
      </c>
      <c r="N126" s="284">
        <f>Time!N$46</f>
        <v>0</v>
      </c>
      <c r="O126" s="284">
        <f>Time!O$46</f>
        <v>0</v>
      </c>
      <c r="P126" s="284">
        <f>Time!P$46</f>
        <v>0</v>
      </c>
      <c r="Q126" s="284">
        <f>Time!Q$46</f>
        <v>0</v>
      </c>
      <c r="R126" s="284">
        <f>Time!R$46</f>
        <v>0</v>
      </c>
    </row>
    <row r="127" spans="1:18" s="98" customFormat="1" x14ac:dyDescent="0.25">
      <c r="A127" s="69"/>
      <c r="B127" s="80"/>
      <c r="C127" s="150"/>
      <c r="D127" s="74"/>
      <c r="E127" s="207" t="s">
        <v>256</v>
      </c>
      <c r="F127" s="207"/>
      <c r="G127" s="207" t="s">
        <v>94</v>
      </c>
      <c r="H127" s="207"/>
      <c r="I127" s="207"/>
      <c r="J127" s="282">
        <f xml:space="preserve"> ((1 + J$124)  * (1 + J$125) - 1) * J$126</f>
        <v>0</v>
      </c>
      <c r="K127" s="282">
        <f t="shared" ref="K127:R127" si="54" xml:space="preserve"> ((1 + K$124)  * (1 + K$125) - 1) * K$126</f>
        <v>0</v>
      </c>
      <c r="L127" s="282">
        <f t="shared" si="54"/>
        <v>0</v>
      </c>
      <c r="M127" s="282">
        <f xml:space="preserve"> ((1 + M$124)  * (1 + M$125) - 1) * M$126</f>
        <v>8.6825136806703007E-3</v>
      </c>
      <c r="N127" s="282">
        <f t="shared" si="54"/>
        <v>0</v>
      </c>
      <c r="O127" s="282">
        <f t="shared" si="54"/>
        <v>0</v>
      </c>
      <c r="P127" s="282">
        <f t="shared" si="54"/>
        <v>0</v>
      </c>
      <c r="Q127" s="282">
        <f t="shared" si="54"/>
        <v>0</v>
      </c>
      <c r="R127" s="282">
        <f t="shared" si="54"/>
        <v>0</v>
      </c>
    </row>
    <row r="128" spans="1:18" s="98" customFormat="1" x14ac:dyDescent="0.25">
      <c r="A128" s="69"/>
      <c r="B128" s="80"/>
      <c r="C128" s="150"/>
      <c r="D128" s="74"/>
      <c r="E128" s="56"/>
      <c r="F128" s="56"/>
      <c r="G128" s="56"/>
      <c r="H128" s="56"/>
      <c r="I128" s="56"/>
      <c r="J128" s="285"/>
      <c r="K128" s="285"/>
      <c r="L128" s="285"/>
      <c r="M128" s="285"/>
      <c r="N128" s="285"/>
      <c r="O128" s="285"/>
      <c r="P128" s="285"/>
      <c r="Q128" s="285"/>
      <c r="R128" s="285"/>
    </row>
    <row r="129" spans="1:18" s="98" customFormat="1" x14ac:dyDescent="0.25">
      <c r="A129" s="69"/>
      <c r="B129" s="80"/>
      <c r="C129" s="150"/>
      <c r="D129" s="74"/>
      <c r="E129" s="207" t="str">
        <f>E127</f>
        <v>CPI(H) + RPI wedge 2020-21 percentage movement - actual (including forecast)</v>
      </c>
      <c r="F129" s="207"/>
      <c r="G129" s="207" t="str">
        <f t="shared" ref="G129:R129" si="55">G127</f>
        <v>%</v>
      </c>
      <c r="H129" s="207">
        <f t="shared" si="55"/>
        <v>0</v>
      </c>
      <c r="I129" s="207">
        <f t="shared" si="55"/>
        <v>0</v>
      </c>
      <c r="J129" s="282">
        <f t="shared" si="55"/>
        <v>0</v>
      </c>
      <c r="K129" s="282">
        <f t="shared" si="55"/>
        <v>0</v>
      </c>
      <c r="L129" s="282">
        <f t="shared" si="55"/>
        <v>0</v>
      </c>
      <c r="M129" s="282">
        <f t="shared" si="55"/>
        <v>8.6825136806703007E-3</v>
      </c>
      <c r="N129" s="282">
        <f t="shared" si="55"/>
        <v>0</v>
      </c>
      <c r="O129" s="282">
        <f t="shared" si="55"/>
        <v>0</v>
      </c>
      <c r="P129" s="282">
        <f t="shared" si="55"/>
        <v>0</v>
      </c>
      <c r="Q129" s="282">
        <f t="shared" si="55"/>
        <v>0</v>
      </c>
      <c r="R129" s="282">
        <f t="shared" si="55"/>
        <v>0</v>
      </c>
    </row>
    <row r="130" spans="1:18" s="98" customFormat="1" x14ac:dyDescent="0.25">
      <c r="A130" s="69"/>
      <c r="B130" s="80"/>
      <c r="C130" s="150"/>
      <c r="D130" s="74"/>
      <c r="E130" s="207" t="str">
        <f xml:space="preserve"> E$89</f>
        <v>RPI: Fin year average - percentage increase - actual (including forecast)</v>
      </c>
      <c r="F130" s="207"/>
      <c r="G130" s="207" t="str">
        <f xml:space="preserve"> G$89</f>
        <v>%</v>
      </c>
      <c r="H130" s="193"/>
      <c r="I130" s="193"/>
      <c r="J130" s="286">
        <f t="shared" ref="J130:R130" si="56" xml:space="preserve"> J$89</f>
        <v>0</v>
      </c>
      <c r="K130" s="286">
        <f t="shared" si="56"/>
        <v>0</v>
      </c>
      <c r="L130" s="286">
        <f t="shared" si="56"/>
        <v>2.5884636879724532E-2</v>
      </c>
      <c r="M130" s="286">
        <f t="shared" si="56"/>
        <v>1.2128336726209277E-2</v>
      </c>
      <c r="N130" s="286">
        <f t="shared" si="56"/>
        <v>5.7762039660056441E-2</v>
      </c>
      <c r="O130" s="286">
        <f t="shared" si="56"/>
        <v>0.12873938777149907</v>
      </c>
      <c r="P130" s="286">
        <f t="shared" si="56"/>
        <v>7.298438760499204E-2</v>
      </c>
      <c r="Q130" s="286">
        <f t="shared" si="56"/>
        <v>4.2656229268940082E-2</v>
      </c>
      <c r="R130" s="286">
        <f t="shared" si="56"/>
        <v>2.9999999999999805E-2</v>
      </c>
    </row>
    <row r="131" spans="1:18" s="98" customFormat="1" x14ac:dyDescent="0.25">
      <c r="A131" s="69"/>
      <c r="B131" s="80"/>
      <c r="C131" s="150"/>
      <c r="D131" s="74"/>
      <c r="E131" s="207" t="s">
        <v>257</v>
      </c>
      <c r="F131" s="207"/>
      <c r="G131" s="207" t="s">
        <v>94</v>
      </c>
      <c r="H131" s="56"/>
      <c r="I131" s="56"/>
      <c r="J131" s="287">
        <f xml:space="preserve"> IF(J129 = 0, J130, J129)</f>
        <v>0</v>
      </c>
      <c r="K131" s="287">
        <f xml:space="preserve"> IF(K129 = 0, K130, K129)</f>
        <v>0</v>
      </c>
      <c r="L131" s="287">
        <f t="shared" ref="L131:R131" si="57" xml:space="preserve"> IF(L129 = 0, L130, L129)</f>
        <v>2.5884636879724532E-2</v>
      </c>
      <c r="M131" s="287">
        <f t="shared" si="57"/>
        <v>8.6825136806703007E-3</v>
      </c>
      <c r="N131" s="287">
        <f t="shared" si="57"/>
        <v>5.7762039660056441E-2</v>
      </c>
      <c r="O131" s="287">
        <f t="shared" si="57"/>
        <v>0.12873938777149907</v>
      </c>
      <c r="P131" s="287">
        <f t="shared" si="57"/>
        <v>7.298438760499204E-2</v>
      </c>
      <c r="Q131" s="287">
        <f t="shared" si="57"/>
        <v>4.2656229268940082E-2</v>
      </c>
      <c r="R131" s="287">
        <f t="shared" si="57"/>
        <v>2.9999999999999805E-2</v>
      </c>
    </row>
    <row r="132" spans="1:18" s="98" customFormat="1" x14ac:dyDescent="0.25">
      <c r="A132" s="69"/>
      <c r="B132" s="80"/>
      <c r="C132" s="150"/>
      <c r="D132" s="74"/>
      <c r="E132" s="56"/>
      <c r="F132" s="56"/>
      <c r="G132" s="56"/>
      <c r="H132" s="56"/>
      <c r="I132" s="56"/>
      <c r="J132" s="285"/>
      <c r="K132" s="285"/>
      <c r="L132" s="285"/>
      <c r="M132" s="285"/>
      <c r="N132" s="285"/>
      <c r="O132" s="285"/>
      <c r="P132" s="285"/>
      <c r="Q132" s="285"/>
      <c r="R132" s="285"/>
    </row>
    <row r="133" spans="1:18" s="98" customFormat="1" x14ac:dyDescent="0.25">
      <c r="A133" s="69"/>
      <c r="B133" s="80"/>
      <c r="C133" s="150"/>
      <c r="D133" s="74"/>
      <c r="E133" s="207" t="str">
        <f>E131</f>
        <v>RPI: Fin year average - percentage increase - actual (including forecast) active</v>
      </c>
      <c r="F133" s="207"/>
      <c r="G133" s="207" t="str">
        <f t="shared" ref="G133:R133" si="58">G131</f>
        <v>%</v>
      </c>
      <c r="H133" s="207">
        <f t="shared" si="58"/>
        <v>0</v>
      </c>
      <c r="I133" s="207">
        <f t="shared" si="58"/>
        <v>0</v>
      </c>
      <c r="J133" s="286">
        <f t="shared" si="58"/>
        <v>0</v>
      </c>
      <c r="K133" s="286">
        <f t="shared" si="58"/>
        <v>0</v>
      </c>
      <c r="L133" s="286">
        <f t="shared" si="58"/>
        <v>2.5884636879724532E-2</v>
      </c>
      <c r="M133" s="286">
        <f t="shared" si="58"/>
        <v>8.6825136806703007E-3</v>
      </c>
      <c r="N133" s="286">
        <f t="shared" si="58"/>
        <v>5.7762039660056441E-2</v>
      </c>
      <c r="O133" s="286">
        <f t="shared" si="58"/>
        <v>0.12873938777149907</v>
      </c>
      <c r="P133" s="286">
        <f t="shared" si="58"/>
        <v>7.298438760499204E-2</v>
      </c>
      <c r="Q133" s="286">
        <f t="shared" si="58"/>
        <v>4.2656229268940082E-2</v>
      </c>
      <c r="R133" s="286">
        <f t="shared" si="58"/>
        <v>2.9999999999999805E-2</v>
      </c>
    </row>
    <row r="134" spans="1:18" s="98" customFormat="1" x14ac:dyDescent="0.25">
      <c r="A134" s="69"/>
      <c r="B134" s="80"/>
      <c r="C134" s="150"/>
      <c r="D134" s="74"/>
      <c r="E134" s="207" t="str">
        <f>E112</f>
        <v>CPI(H): Fin year average - percentage increase - actual (including forecast)</v>
      </c>
      <c r="F134" s="207"/>
      <c r="G134" s="207" t="str">
        <f t="shared" ref="G134:R134" si="59">G112</f>
        <v>%</v>
      </c>
      <c r="H134" s="207">
        <f t="shared" si="59"/>
        <v>0</v>
      </c>
      <c r="I134" s="207">
        <f t="shared" si="59"/>
        <v>0</v>
      </c>
      <c r="J134" s="286">
        <f t="shared" si="59"/>
        <v>0</v>
      </c>
      <c r="K134" s="286">
        <f t="shared" si="59"/>
        <v>2.1269790500559882E-2</v>
      </c>
      <c r="L134" s="286">
        <f t="shared" si="59"/>
        <v>1.6990291262135582E-2</v>
      </c>
      <c r="M134" s="286">
        <f t="shared" si="59"/>
        <v>8.0067749634311625E-3</v>
      </c>
      <c r="N134" s="286">
        <f t="shared" si="59"/>
        <v>3.6737187810280236E-2</v>
      </c>
      <c r="O134" s="286">
        <f t="shared" si="59"/>
        <v>8.7741270075143429E-2</v>
      </c>
      <c r="P134" s="286">
        <f t="shared" si="59"/>
        <v>6.2986793091771132E-2</v>
      </c>
      <c r="Q134" s="286">
        <f t="shared" si="59"/>
        <v>3.2685568652437214E-2</v>
      </c>
      <c r="R134" s="286">
        <f t="shared" si="59"/>
        <v>2.0000000000000018E-2</v>
      </c>
    </row>
    <row r="135" spans="1:18" s="98" customFormat="1" x14ac:dyDescent="0.25">
      <c r="A135" s="69"/>
      <c r="B135" s="80"/>
      <c r="C135" s="150"/>
      <c r="D135" s="74"/>
      <c r="E135" s="288" t="s">
        <v>258</v>
      </c>
      <c r="F135" s="288"/>
      <c r="G135" s="288" t="s">
        <v>94</v>
      </c>
      <c r="H135" s="288"/>
      <c r="I135" s="288">
        <f>I$167</f>
        <v>0</v>
      </c>
      <c r="J135" s="289"/>
      <c r="K135" s="289">
        <f>(K133-K134)*2</f>
        <v>-4.2539581001119764E-2</v>
      </c>
      <c r="L135" s="289">
        <f t="shared" ref="L135:R135" si="60">L133-L134</f>
        <v>8.8943456175889501E-3</v>
      </c>
      <c r="M135" s="289">
        <f t="shared" si="60"/>
        <v>6.7573871723913825E-4</v>
      </c>
      <c r="N135" s="289">
        <f t="shared" si="60"/>
        <v>2.1024851849776205E-2</v>
      </c>
      <c r="O135" s="289">
        <f t="shared" si="60"/>
        <v>4.099811769635564E-2</v>
      </c>
      <c r="P135" s="289">
        <f t="shared" si="60"/>
        <v>9.9975945132209088E-3</v>
      </c>
      <c r="Q135" s="289">
        <f t="shared" si="60"/>
        <v>9.9706606165028688E-3</v>
      </c>
      <c r="R135" s="289">
        <f t="shared" si="60"/>
        <v>9.9999999999997868E-3</v>
      </c>
    </row>
    <row r="136" spans="1:18" s="98" customFormat="1" x14ac:dyDescent="0.25">
      <c r="A136" s="86"/>
      <c r="B136" s="87"/>
      <c r="C136" s="142"/>
      <c r="D136" s="88"/>
      <c r="E136" s="127"/>
      <c r="G136" s="49"/>
      <c r="K136" s="290"/>
      <c r="L136" s="290"/>
      <c r="M136" s="290"/>
      <c r="N136" s="290"/>
      <c r="O136" s="290"/>
      <c r="P136" s="290"/>
      <c r="Q136" s="290"/>
      <c r="R136" s="290"/>
    </row>
    <row r="137" spans="1:18" s="60" customFormat="1" x14ac:dyDescent="0.25">
      <c r="A137" s="68"/>
      <c r="B137" s="80"/>
      <c r="C137" s="144"/>
      <c r="D137" s="76"/>
      <c r="E137" s="126"/>
    </row>
    <row r="138" spans="1:18" x14ac:dyDescent="0.3">
      <c r="A138" s="14" t="s">
        <v>62</v>
      </c>
      <c r="B138" s="1"/>
      <c r="C138" s="1"/>
      <c r="D138" s="1"/>
      <c r="E138" s="1"/>
      <c r="F138" s="1"/>
      <c r="G138" s="1"/>
      <c r="H138" s="1"/>
      <c r="I138" s="1"/>
      <c r="J138" s="1"/>
      <c r="K138" s="1"/>
      <c r="L138" s="1"/>
      <c r="M138" s="1"/>
      <c r="N138" s="1"/>
      <c r="O138" s="1"/>
      <c r="P138" s="1"/>
      <c r="Q138" s="1"/>
      <c r="R138" s="1"/>
    </row>
  </sheetData>
  <conditionalFormatting sqref="F2">
    <cfRule type="cellIs" dxfId="70" priority="2" stopIfTrue="1" operator="notEqual">
      <formula>0</formula>
    </cfRule>
    <cfRule type="cellIs" dxfId="69" priority="3" stopIfTrue="1" operator="equal">
      <formula>""</formula>
    </cfRule>
  </conditionalFormatting>
  <conditionalFormatting sqref="S3:BZ3">
    <cfRule type="cellIs" dxfId="68" priority="14" operator="equal">
      <formula>"Post-Fcst"</formula>
    </cfRule>
    <cfRule type="cellIs" dxfId="67" priority="15" operator="equal">
      <formula>"Forecast"</formula>
    </cfRule>
    <cfRule type="cellIs" dxfId="66" priority="16" operator="equal">
      <formula>"Pre Fcst"</formula>
    </cfRule>
  </conditionalFormatting>
  <conditionalFormatting sqref="J3:R3">
    <cfRule type="cellIs" dxfId="65" priority="6" operator="equal">
      <formula>"Post-Fcst"</formula>
    </cfRule>
    <cfRule type="cellIs" dxfId="64" priority="7" operator="equal">
      <formula>"Forecast"</formula>
    </cfRule>
    <cfRule type="cellIs" dxfId="63" priority="8" operator="equal">
      <formula>"Pre Fcst"</formula>
    </cfRule>
  </conditionalFormatting>
  <pageMargins left="0.70866141732283472" right="0.70866141732283472" top="0.74803149606299213" bottom="0.74803149606299213" header="0.31496062992125984" footer="0.31496062992125984"/>
  <pageSetup paperSize="9" scale="27"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outlinePr summaryBelow="0" summaryRight="0"/>
    <pageSetUpPr fitToPage="1"/>
  </sheetPr>
  <dimension ref="A1:XFC223"/>
  <sheetViews>
    <sheetView zoomScale="70" zoomScaleNormal="70" workbookViewId="0">
      <pane xSplit="9" ySplit="6" topLeftCell="J124" activePane="bottomRight" state="frozen"/>
      <selection pane="topRight"/>
      <selection pane="bottomLeft"/>
      <selection pane="bottomRight"/>
    </sheetView>
  </sheetViews>
  <sheetFormatPr defaultColWidth="0" defaultRowHeight="13" x14ac:dyDescent="0.25"/>
  <cols>
    <col min="1" max="1" width="1.81640625" style="69" customWidth="1"/>
    <col min="2" max="2" width="1.81640625" style="80" customWidth="1"/>
    <col min="3" max="3" width="1.81640625" style="144" customWidth="1"/>
    <col min="4" max="4" width="1.81640625" style="74" customWidth="1"/>
    <col min="5" max="5" width="73.453125" style="56" bestFit="1" customWidth="1"/>
    <col min="6" max="6" width="12.54296875" style="56" customWidth="1"/>
    <col min="7" max="7" width="10.81640625" style="56" bestFit="1" customWidth="1"/>
    <col min="8" max="8" width="11.54296875" style="56" customWidth="1"/>
    <col min="9" max="9" width="2.54296875" style="56" customWidth="1"/>
    <col min="10" max="18" width="11.54296875" style="56" customWidth="1"/>
    <col min="19" max="26" width="11.54296875" style="60" hidden="1" customWidth="1"/>
    <col min="27" max="16384" width="0" style="56" hidden="1"/>
  </cols>
  <sheetData>
    <row r="1" spans="1:26" s="156" customFormat="1" ht="25" x14ac:dyDescent="0.5">
      <c r="A1" s="152" t="str">
        <f ca="1" xml:space="preserve"> RIGHT(CELL("filename", $A$1), LEN(CELL("filename", $A$1)) - SEARCH("]", CELL("filename", $A$1)))</f>
        <v>Calcs-WR</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5">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25">
      <c r="C10" s="144" t="s">
        <v>259</v>
      </c>
    </row>
    <row r="12" spans="1:26" x14ac:dyDescent="0.25">
      <c r="B12" s="80" t="s">
        <v>132</v>
      </c>
    </row>
    <row r="13" spans="1:26" s="236" customFormat="1" x14ac:dyDescent="0.25">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5">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5">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5">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5">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5">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5">
      <c r="A20" s="260"/>
      <c r="B20" s="261"/>
      <c r="C20" s="262"/>
      <c r="D20" s="263"/>
      <c r="I20" s="266"/>
      <c r="S20" s="266"/>
      <c r="T20" s="266"/>
      <c r="U20" s="266"/>
      <c r="V20" s="266"/>
      <c r="W20" s="266"/>
      <c r="X20" s="266"/>
      <c r="Y20" s="266"/>
      <c r="Z20" s="266"/>
    </row>
    <row r="21" spans="1:16383" x14ac:dyDescent="0.25">
      <c r="B21" s="80" t="s">
        <v>135</v>
      </c>
    </row>
    <row r="22" spans="1:16383" s="208" customFormat="1" x14ac:dyDescent="0.25">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156.15683143012828</v>
      </c>
      <c r="N22" s="292">
        <f t="shared" si="3"/>
        <v>151.0359673111883</v>
      </c>
      <c r="O22" s="292">
        <f t="shared" si="3"/>
        <v>146.84315095956674</v>
      </c>
      <c r="P22" s="292">
        <f t="shared" si="3"/>
        <v>143.03241379283958</v>
      </c>
      <c r="Q22" s="292">
        <f t="shared" si="3"/>
        <v>139.38760461160501</v>
      </c>
      <c r="R22" s="292">
        <f t="shared" si="3"/>
        <v>135.83567391585024</v>
      </c>
    </row>
    <row r="23" spans="1:16383" s="213" customFormat="1" x14ac:dyDescent="0.25">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5">
      <c r="A24" s="210"/>
      <c r="B24" s="204"/>
      <c r="C24" s="205"/>
      <c r="D24" s="211"/>
      <c r="E24" s="213" t="s">
        <v>136</v>
      </c>
      <c r="G24" s="125" t="s">
        <v>88</v>
      </c>
      <c r="J24" s="225">
        <f>J22*J23</f>
        <v>0</v>
      </c>
      <c r="K24" s="225">
        <f t="shared" ref="K24:R24" si="5">K22*K23</f>
        <v>0</v>
      </c>
      <c r="L24" s="225">
        <f t="shared" si="5"/>
        <v>0</v>
      </c>
      <c r="M24" s="225">
        <f>M22*M23</f>
        <v>3.7880667073156609</v>
      </c>
      <c r="N24" s="225">
        <f t="shared" si="5"/>
        <v>4.4687991396924902</v>
      </c>
      <c r="O24" s="225">
        <f t="shared" si="5"/>
        <v>4.6261001183105925</v>
      </c>
      <c r="P24" s="225">
        <f t="shared" si="5"/>
        <v>4.5770372413709657</v>
      </c>
      <c r="Q24" s="225">
        <f t="shared" si="5"/>
        <v>4.4604033475713338</v>
      </c>
      <c r="R24" s="225">
        <f t="shared" si="5"/>
        <v>4.0750702174754805</v>
      </c>
      <c r="S24" s="126"/>
      <c r="T24" s="126"/>
      <c r="U24" s="126"/>
      <c r="V24" s="126"/>
      <c r="W24" s="126"/>
      <c r="X24" s="126"/>
      <c r="Y24" s="126"/>
      <c r="Z24" s="126"/>
    </row>
    <row r="26" spans="1:16383" s="253" customFormat="1" x14ac:dyDescent="0.25">
      <c r="A26" s="249"/>
      <c r="B26" s="250"/>
      <c r="C26" s="251"/>
      <c r="D26" s="252"/>
      <c r="E26" s="49" t="str">
        <f xml:space="preserve"> InpR!E$94</f>
        <v>Run-off rate - CPI(H) + RPI wedge - active - WR</v>
      </c>
      <c r="F26" s="253">
        <f xml:space="preserve"> InpR!F$94</f>
        <v>0</v>
      </c>
      <c r="G26" s="271" t="str">
        <f xml:space="preserve"> InpR!G$94</f>
        <v>%</v>
      </c>
      <c r="H26" s="253" t="str">
        <f xml:space="preserve"> InpR!I$94</f>
        <v>PR19 Financial model, 'F_OutputsMaster' sheet row 953, PR19FM2090POST</v>
      </c>
      <c r="I26" s="253" t="e">
        <f xml:space="preserve"> InpR!#REF!</f>
        <v>#REF!</v>
      </c>
      <c r="J26" s="253">
        <f xml:space="preserve"> InpR!J$94</f>
        <v>0</v>
      </c>
      <c r="K26" s="253">
        <f xml:space="preserve"> InpR!K$94</f>
        <v>0</v>
      </c>
      <c r="L26" s="253">
        <f xml:space="preserve"> InpR!L$94</f>
        <v>0</v>
      </c>
      <c r="M26" s="253">
        <f xml:space="preserve"> InpR!M$94</f>
        <v>5.57E-2</v>
      </c>
      <c r="N26" s="253">
        <f xml:space="preserve"> InpR!N$94</f>
        <v>5.57E-2</v>
      </c>
      <c r="O26" s="253">
        <f xml:space="preserve"> InpR!O$94</f>
        <v>5.57E-2</v>
      </c>
      <c r="P26" s="253">
        <f xml:space="preserve"> InpR!P$94</f>
        <v>5.57E-2</v>
      </c>
      <c r="Q26" s="253">
        <f xml:space="preserve"> InpR!Q$94</f>
        <v>5.57E-2</v>
      </c>
      <c r="R26" s="253">
        <f xml:space="preserve"> InpR!R$94</f>
        <v>0</v>
      </c>
    </row>
    <row r="27" spans="1:16383" s="199" customFormat="1" x14ac:dyDescent="0.25">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156.15683143012828</v>
      </c>
      <c r="N27" s="292">
        <f t="shared" si="6"/>
        <v>151.0359673111883</v>
      </c>
      <c r="O27" s="292">
        <f t="shared" si="6"/>
        <v>146.84315095956674</v>
      </c>
      <c r="P27" s="292">
        <f t="shared" si="6"/>
        <v>143.03241379283958</v>
      </c>
      <c r="Q27" s="292">
        <f t="shared" si="6"/>
        <v>139.38760461160501</v>
      </c>
      <c r="R27" s="292">
        <f t="shared" si="6"/>
        <v>135.83567391585024</v>
      </c>
    </row>
    <row r="28" spans="1:16383" x14ac:dyDescent="0.25">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3.7880667073156609</v>
      </c>
      <c r="N28" s="225">
        <f t="shared" si="7"/>
        <v>4.4687991396924902</v>
      </c>
      <c r="O28" s="225">
        <f t="shared" si="7"/>
        <v>4.6261001183105925</v>
      </c>
      <c r="P28" s="225">
        <f t="shared" si="7"/>
        <v>4.5770372413709657</v>
      </c>
      <c r="Q28" s="225">
        <f t="shared" si="7"/>
        <v>4.4604033475713338</v>
      </c>
      <c r="R28" s="225">
        <f t="shared" si="7"/>
        <v>4.0750702174754805</v>
      </c>
    </row>
    <row r="29" spans="1:16383" x14ac:dyDescent="0.25">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8.9089308262556273</v>
      </c>
      <c r="N29" s="225">
        <f t="shared" si="8"/>
        <v>8.6616154913140608</v>
      </c>
      <c r="O29" s="225">
        <f t="shared" si="8"/>
        <v>8.4368372850377682</v>
      </c>
      <c r="P29" s="225">
        <f t="shared" si="8"/>
        <v>8.2218464226055268</v>
      </c>
      <c r="Q29" s="225">
        <f t="shared" si="8"/>
        <v>8.0123340433261223</v>
      </c>
      <c r="R29" s="225">
        <f t="shared" si="8"/>
        <v>0</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5">
      <c r="F30" s="304"/>
      <c r="G30" s="304"/>
      <c r="H30" s="304"/>
    </row>
    <row r="31" spans="1:16383" s="242" customFormat="1" x14ac:dyDescent="0.25">
      <c r="A31" s="238"/>
      <c r="B31" s="239"/>
      <c r="C31" s="240"/>
      <c r="D31" s="241"/>
      <c r="E31" s="242" t="str">
        <f>InpR!$E$87</f>
        <v>RCV - CPI(H) + RPI wedge initial balance - nominal - WR</v>
      </c>
      <c r="F31" s="302">
        <f>InpR!$F$87</f>
        <v>156.15683143012828</v>
      </c>
      <c r="G31" s="242" t="str">
        <f>InpR!$G$87</f>
        <v>£m</v>
      </c>
      <c r="H31" s="303"/>
    </row>
    <row r="32" spans="1:16383" s="49" customFormat="1" x14ac:dyDescent="0.25">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5">
      <c r="A33" s="67"/>
      <c r="B33" s="78"/>
      <c r="C33" s="142"/>
      <c r="D33" s="72"/>
      <c r="S33" s="59"/>
      <c r="T33" s="59"/>
      <c r="U33" s="59"/>
      <c r="V33" s="59"/>
      <c r="W33" s="59"/>
      <c r="X33" s="59"/>
      <c r="Y33" s="59"/>
      <c r="Z33" s="59"/>
    </row>
    <row r="34" spans="1:26" s="59" customFormat="1" x14ac:dyDescent="0.25">
      <c r="A34" s="66"/>
      <c r="B34" s="70"/>
      <c r="C34" s="145"/>
      <c r="D34" s="75"/>
      <c r="E34" s="59" t="s">
        <v>138</v>
      </c>
      <c r="G34" s="126" t="s">
        <v>88</v>
      </c>
      <c r="J34" s="293">
        <f t="shared" ref="J34:R34" si="9" xml:space="preserve"> I37</f>
        <v>0</v>
      </c>
      <c r="K34" s="293">
        <f t="shared" si="9"/>
        <v>0</v>
      </c>
      <c r="L34" s="293">
        <f t="shared" si="9"/>
        <v>0</v>
      </c>
      <c r="M34" s="293">
        <f t="shared" si="9"/>
        <v>156.15683143012828</v>
      </c>
      <c r="N34" s="293">
        <f t="shared" si="9"/>
        <v>151.0359673111883</v>
      </c>
      <c r="O34" s="293">
        <f t="shared" si="9"/>
        <v>146.84315095956674</v>
      </c>
      <c r="P34" s="293">
        <f t="shared" si="9"/>
        <v>143.03241379283958</v>
      </c>
      <c r="Q34" s="293">
        <f t="shared" si="9"/>
        <v>139.38760461160501</v>
      </c>
      <c r="R34" s="293">
        <f t="shared" si="9"/>
        <v>135.83567391585024</v>
      </c>
    </row>
    <row r="35" spans="1:26" s="59" customFormat="1" x14ac:dyDescent="0.25">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3.7880667073156609</v>
      </c>
      <c r="N35" s="293">
        <f t="shared" si="10"/>
        <v>4.4687991396924902</v>
      </c>
      <c r="O35" s="293">
        <f t="shared" si="10"/>
        <v>4.6261001183105925</v>
      </c>
      <c r="P35" s="293">
        <f t="shared" si="10"/>
        <v>4.5770372413709657</v>
      </c>
      <c r="Q35" s="293">
        <f t="shared" si="10"/>
        <v>4.4604033475713338</v>
      </c>
      <c r="R35" s="293">
        <f t="shared" si="10"/>
        <v>4.0750702174754805</v>
      </c>
    </row>
    <row r="36" spans="1:26" s="59" customFormat="1" x14ac:dyDescent="0.25">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8.9089308262556273</v>
      </c>
      <c r="N36" s="293">
        <f t="shared" si="11"/>
        <v>8.6616154913140608</v>
      </c>
      <c r="O36" s="293">
        <f t="shared" si="11"/>
        <v>8.4368372850377682</v>
      </c>
      <c r="P36" s="293">
        <f t="shared" si="11"/>
        <v>8.2218464226055268</v>
      </c>
      <c r="Q36" s="293">
        <f t="shared" si="11"/>
        <v>8.0123340433261223</v>
      </c>
      <c r="R36" s="293">
        <f t="shared" si="11"/>
        <v>0</v>
      </c>
    </row>
    <row r="37" spans="1:26" s="173" customFormat="1" x14ac:dyDescent="0.25">
      <c r="A37" s="169"/>
      <c r="B37" s="170"/>
      <c r="C37" s="171"/>
      <c r="D37" s="172"/>
      <c r="E37" s="173" t="s">
        <v>141</v>
      </c>
      <c r="G37" s="202" t="s">
        <v>88</v>
      </c>
      <c r="J37" s="294">
        <f t="shared" ref="J37:R37" si="12" xml:space="preserve"> IF( J32 = 1, $F31, J34 + J35 - J36)</f>
        <v>0</v>
      </c>
      <c r="K37" s="294">
        <f t="shared" si="12"/>
        <v>0</v>
      </c>
      <c r="L37" s="294">
        <f t="shared" si="12"/>
        <v>156.15683143012828</v>
      </c>
      <c r="M37" s="294">
        <f t="shared" si="12"/>
        <v>151.0359673111883</v>
      </c>
      <c r="N37" s="294">
        <f t="shared" si="12"/>
        <v>146.84315095956674</v>
      </c>
      <c r="O37" s="294">
        <f t="shared" si="12"/>
        <v>143.03241379283958</v>
      </c>
      <c r="P37" s="294">
        <f t="shared" si="12"/>
        <v>139.38760461160501</v>
      </c>
      <c r="Q37" s="294">
        <f t="shared" si="12"/>
        <v>135.83567391585024</v>
      </c>
      <c r="R37" s="294">
        <f t="shared" si="12"/>
        <v>139.91074413332572</v>
      </c>
    </row>
    <row r="39" spans="1:26" s="126" customFormat="1" x14ac:dyDescent="0.25">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156.15683143012828</v>
      </c>
      <c r="N39" s="226">
        <f t="shared" si="13"/>
        <v>151.0359673111883</v>
      </c>
      <c r="O39" s="226">
        <f t="shared" si="13"/>
        <v>146.84315095956674</v>
      </c>
      <c r="P39" s="226">
        <f t="shared" si="13"/>
        <v>143.03241379283958</v>
      </c>
      <c r="Q39" s="226">
        <f t="shared" si="13"/>
        <v>139.38760461160501</v>
      </c>
      <c r="R39" s="226">
        <f t="shared" si="13"/>
        <v>135.83567391585024</v>
      </c>
    </row>
    <row r="40" spans="1:26" s="126" customFormat="1" x14ac:dyDescent="0.25">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3.7880667073156609</v>
      </c>
      <c r="N40" s="293">
        <f t="shared" si="14"/>
        <v>4.4687991396924902</v>
      </c>
      <c r="O40" s="293">
        <f t="shared" si="14"/>
        <v>4.6261001183105925</v>
      </c>
      <c r="P40" s="293">
        <f t="shared" si="14"/>
        <v>4.5770372413709657</v>
      </c>
      <c r="Q40" s="293">
        <f t="shared" si="14"/>
        <v>4.4604033475713338</v>
      </c>
      <c r="R40" s="293">
        <f t="shared" si="14"/>
        <v>4.0750702174754805</v>
      </c>
    </row>
    <row r="41" spans="1:26" s="126" customFormat="1" x14ac:dyDescent="0.25">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156.15683143012828</v>
      </c>
      <c r="M41" s="226">
        <f t="shared" si="15"/>
        <v>151.0359673111883</v>
      </c>
      <c r="N41" s="226">
        <f t="shared" si="15"/>
        <v>146.84315095956674</v>
      </c>
      <c r="O41" s="226">
        <f t="shared" si="15"/>
        <v>143.03241379283958</v>
      </c>
      <c r="P41" s="226">
        <f t="shared" si="15"/>
        <v>139.38760461160501</v>
      </c>
      <c r="Q41" s="226">
        <f t="shared" si="15"/>
        <v>135.83567391585024</v>
      </c>
      <c r="R41" s="226">
        <f t="shared" si="15"/>
        <v>139.91074413332572</v>
      </c>
    </row>
    <row r="42" spans="1:26" s="126" customFormat="1" x14ac:dyDescent="0.25">
      <c r="A42" s="203"/>
      <c r="B42" s="204"/>
      <c r="C42" s="205"/>
      <c r="D42" s="206"/>
      <c r="E42" s="126" t="s">
        <v>142</v>
      </c>
      <c r="G42" s="126" t="s">
        <v>88</v>
      </c>
      <c r="J42" s="226">
        <f t="shared" ref="J42:L42" si="16" xml:space="preserve"> ( (J39+J40) + J41) / 2</f>
        <v>0</v>
      </c>
      <c r="K42" s="226">
        <f t="shared" si="16"/>
        <v>0</v>
      </c>
      <c r="L42" s="226">
        <f t="shared" si="16"/>
        <v>78.078415715064139</v>
      </c>
      <c r="M42" s="226">
        <f xml:space="preserve"> ( (M39+M40) + M41) / 2</f>
        <v>155.49043272431612</v>
      </c>
      <c r="N42" s="226">
        <f t="shared" ref="N42:R42" si="17" xml:space="preserve"> ( (N39+N40) + N41) / 2</f>
        <v>151.17395870522375</v>
      </c>
      <c r="O42" s="226">
        <f t="shared" si="17"/>
        <v>147.25083243535846</v>
      </c>
      <c r="P42" s="226">
        <f t="shared" si="17"/>
        <v>143.49852782290776</v>
      </c>
      <c r="Q42" s="226">
        <f t="shared" si="17"/>
        <v>139.8418409375133</v>
      </c>
      <c r="R42" s="226">
        <f t="shared" si="17"/>
        <v>139.91074413332572</v>
      </c>
    </row>
    <row r="43" spans="1:26" s="126" customFormat="1" x14ac:dyDescent="0.25">
      <c r="A43" s="203"/>
      <c r="B43" s="204"/>
      <c r="C43" s="205"/>
      <c r="D43" s="206"/>
    </row>
    <row r="44" spans="1:26" x14ac:dyDescent="0.25">
      <c r="B44" s="80" t="s">
        <v>143</v>
      </c>
    </row>
    <row r="45" spans="1:26" s="253" customFormat="1" x14ac:dyDescent="0.25">
      <c r="A45" s="249"/>
      <c r="B45" s="250"/>
      <c r="C45" s="251"/>
      <c r="D45" s="252"/>
      <c r="E45" s="253" t="str">
        <f xml:space="preserve"> InpR!E$101</f>
        <v>WACC on RCV - CPI(H) + RPI wedge bf and additions - WR</v>
      </c>
      <c r="F45" s="253">
        <f xml:space="preserve"> InpR!F$101</f>
        <v>0</v>
      </c>
      <c r="G45" s="271" t="str">
        <f xml:space="preserve"> InpR!G$101</f>
        <v>%</v>
      </c>
      <c r="H45" s="253" t="str">
        <f xml:space="preserve"> InpR!I$101</f>
        <v>PR19 Financial model, 'Water Resources' sheet row 980</v>
      </c>
      <c r="I45" s="253" t="e">
        <f xml:space="preserve"> InpR!#REF!</f>
        <v>#REF!</v>
      </c>
      <c r="J45" s="253">
        <f xml:space="preserve"> InpR!J$101</f>
        <v>0</v>
      </c>
      <c r="K45" s="253">
        <f xml:space="preserve"> InpR!K$101</f>
        <v>0</v>
      </c>
      <c r="L45" s="253">
        <f xml:space="preserve"> InpR!L$101</f>
        <v>0</v>
      </c>
      <c r="M45" s="253">
        <f xml:space="preserve"> InpR!M$101</f>
        <v>2.2181345335277269E-2</v>
      </c>
      <c r="N45" s="253">
        <f xml:space="preserve"> InpR!N$101</f>
        <v>2.2181345335277269E-2</v>
      </c>
      <c r="O45" s="253">
        <f xml:space="preserve"> InpR!O$101</f>
        <v>2.2181345335277269E-2</v>
      </c>
      <c r="P45" s="253">
        <f xml:space="preserve"> InpR!P$101</f>
        <v>2.2181345335277269E-2</v>
      </c>
      <c r="Q45" s="253">
        <f xml:space="preserve"> InpR!Q$101</f>
        <v>2.2181345335277269E-2</v>
      </c>
      <c r="R45" s="253">
        <f xml:space="preserve"> InpR!R$101</f>
        <v>0</v>
      </c>
    </row>
    <row r="46" spans="1:26" s="126" customFormat="1" x14ac:dyDescent="0.25">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5">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78.078415715064139</v>
      </c>
      <c r="M47" s="225">
        <f t="shared" si="18"/>
        <v>155.49043272431612</v>
      </c>
      <c r="N47" s="225">
        <f t="shared" si="18"/>
        <v>151.17395870522375</v>
      </c>
      <c r="O47" s="225">
        <f t="shared" si="18"/>
        <v>147.25083243535846</v>
      </c>
      <c r="P47" s="225">
        <f t="shared" si="18"/>
        <v>143.49852782290776</v>
      </c>
      <c r="Q47" s="225">
        <f t="shared" si="18"/>
        <v>139.8418409375133</v>
      </c>
      <c r="R47" s="225">
        <f t="shared" si="18"/>
        <v>139.91074413332572</v>
      </c>
      <c r="S47" s="126"/>
      <c r="T47" s="126"/>
      <c r="U47" s="126"/>
      <c r="V47" s="126"/>
      <c r="W47" s="126"/>
      <c r="X47" s="126"/>
      <c r="Y47" s="126"/>
      <c r="Z47" s="126"/>
    </row>
    <row r="48" spans="1:26" s="125" customFormat="1" x14ac:dyDescent="0.25">
      <c r="A48" s="210"/>
      <c r="B48" s="204"/>
      <c r="C48" s="205"/>
      <c r="D48" s="211"/>
      <c r="E48" s="213" t="s">
        <v>144</v>
      </c>
      <c r="G48" s="125" t="s">
        <v>88</v>
      </c>
      <c r="H48" s="225"/>
      <c r="I48" s="225"/>
      <c r="J48" s="225">
        <f t="shared" ref="J48:K48" si="19">J45*J47*J46</f>
        <v>0</v>
      </c>
      <c r="K48" s="225">
        <f t="shared" si="19"/>
        <v>0</v>
      </c>
      <c r="L48" s="225">
        <f>L45*L47*L46</f>
        <v>0</v>
      </c>
      <c r="M48" s="225">
        <f>M45*M47*M46</f>
        <v>3.4489869845897534</v>
      </c>
      <c r="N48" s="225">
        <f t="shared" ref="N48:R48" si="20">N45*N47*N46</f>
        <v>3.3532417837415136</v>
      </c>
      <c r="O48" s="225">
        <f t="shared" si="20"/>
        <v>3.2662215651557331</v>
      </c>
      <c r="P48" s="225">
        <f t="shared" si="20"/>
        <v>3.1829904007438103</v>
      </c>
      <c r="Q48" s="225">
        <f t="shared" si="20"/>
        <v>3.1018801661558966</v>
      </c>
      <c r="R48" s="225">
        <f t="shared" si="20"/>
        <v>0</v>
      </c>
      <c r="S48" s="126"/>
      <c r="T48" s="126"/>
      <c r="U48" s="126"/>
      <c r="V48" s="126"/>
      <c r="W48" s="126"/>
      <c r="X48" s="126"/>
      <c r="Y48" s="126"/>
      <c r="Z48" s="126"/>
    </row>
    <row r="49" spans="1:26" s="125" customFormat="1" x14ac:dyDescent="0.25">
      <c r="A49" s="210"/>
      <c r="B49" s="204"/>
      <c r="C49" s="205"/>
      <c r="D49" s="211"/>
      <c r="S49" s="126"/>
      <c r="T49" s="126"/>
      <c r="U49" s="126"/>
      <c r="V49" s="126"/>
      <c r="W49" s="126"/>
      <c r="X49" s="126"/>
      <c r="Y49" s="126"/>
      <c r="Z49" s="126"/>
    </row>
    <row r="50" spans="1:26" x14ac:dyDescent="0.25">
      <c r="B50" s="80" t="s">
        <v>145</v>
      </c>
    </row>
    <row r="51" spans="1:26" s="125" customFormat="1" x14ac:dyDescent="0.25">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8.9089308262556273</v>
      </c>
      <c r="N51" s="225">
        <f t="shared" si="21"/>
        <v>8.6616154913140608</v>
      </c>
      <c r="O51" s="225">
        <f t="shared" si="21"/>
        <v>8.4368372850377682</v>
      </c>
      <c r="P51" s="225">
        <f t="shared" si="21"/>
        <v>8.2218464226055268</v>
      </c>
      <c r="Q51" s="225">
        <f t="shared" si="21"/>
        <v>8.0123340433261223</v>
      </c>
      <c r="R51" s="225">
        <f t="shared" si="21"/>
        <v>0</v>
      </c>
      <c r="S51" s="126"/>
      <c r="T51" s="126"/>
      <c r="U51" s="126"/>
      <c r="V51" s="126"/>
      <c r="W51" s="126"/>
      <c r="X51" s="126"/>
      <c r="Y51" s="126"/>
      <c r="Z51" s="126"/>
    </row>
    <row r="52" spans="1:26" s="125" customFormat="1" x14ac:dyDescent="0.25">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3.4489869845897534</v>
      </c>
      <c r="N52" s="225">
        <f t="shared" si="22"/>
        <v>3.3532417837415136</v>
      </c>
      <c r="O52" s="225">
        <f t="shared" si="22"/>
        <v>3.2662215651557331</v>
      </c>
      <c r="P52" s="225">
        <f t="shared" si="22"/>
        <v>3.1829904007438103</v>
      </c>
      <c r="Q52" s="225">
        <f t="shared" si="22"/>
        <v>3.1018801661558966</v>
      </c>
      <c r="R52" s="225">
        <f t="shared" si="22"/>
        <v>0</v>
      </c>
      <c r="S52" s="126"/>
      <c r="T52" s="126"/>
      <c r="U52" s="126"/>
      <c r="V52" s="126"/>
      <c r="W52" s="126"/>
      <c r="X52" s="126"/>
      <c r="Y52" s="126"/>
      <c r="Z52" s="126"/>
    </row>
    <row r="53" spans="1:26" s="125" customFormat="1" x14ac:dyDescent="0.25">
      <c r="A53" s="210"/>
      <c r="B53" s="204"/>
      <c r="C53" s="205"/>
      <c r="D53" s="211"/>
      <c r="E53" s="213" t="s">
        <v>146</v>
      </c>
      <c r="G53" s="125" t="str">
        <f xml:space="preserve"> G$48</f>
        <v>£m</v>
      </c>
      <c r="H53" s="225">
        <f>SUM(J53:R53)</f>
        <v>58.594884968925811</v>
      </c>
      <c r="I53" s="225"/>
      <c r="J53" s="225">
        <f t="shared" ref="J53:R53" si="23">SUM(J51:J52)</f>
        <v>0</v>
      </c>
      <c r="K53" s="225">
        <f t="shared" si="23"/>
        <v>0</v>
      </c>
      <c r="L53" s="225">
        <f>SUM(L51:L52)</f>
        <v>0</v>
      </c>
      <c r="M53" s="226">
        <f t="shared" si="23"/>
        <v>12.357917810845381</v>
      </c>
      <c r="N53" s="226">
        <f t="shared" si="23"/>
        <v>12.014857275055574</v>
      </c>
      <c r="O53" s="225">
        <f t="shared" si="23"/>
        <v>11.703058850193502</v>
      </c>
      <c r="P53" s="225">
        <f t="shared" si="23"/>
        <v>11.404836823349337</v>
      </c>
      <c r="Q53" s="225">
        <f t="shared" si="23"/>
        <v>11.114214209482018</v>
      </c>
      <c r="R53" s="225">
        <f t="shared" si="23"/>
        <v>0</v>
      </c>
      <c r="S53" s="126"/>
      <c r="T53" s="126"/>
      <c r="U53" s="126"/>
      <c r="V53" s="126"/>
      <c r="W53" s="126"/>
      <c r="X53" s="126"/>
      <c r="Y53" s="126"/>
      <c r="Z53" s="126"/>
    </row>
    <row r="55" spans="1:26" x14ac:dyDescent="0.25">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25">
      <c r="M56" s="218"/>
      <c r="N56" s="218"/>
      <c r="O56" s="218"/>
      <c r="P56" s="218"/>
      <c r="Q56" s="218"/>
    </row>
    <row r="57" spans="1:26" x14ac:dyDescent="0.25">
      <c r="C57" s="144" t="s">
        <v>260</v>
      </c>
      <c r="M57" s="218"/>
      <c r="N57" s="218"/>
      <c r="O57" s="218"/>
      <c r="P57" s="218"/>
      <c r="Q57" s="218"/>
    </row>
    <row r="58" spans="1:26" x14ac:dyDescent="0.25">
      <c r="C58" s="144" t="s">
        <v>261</v>
      </c>
      <c r="M58" s="218"/>
      <c r="N58" s="218"/>
      <c r="O58" s="218"/>
      <c r="P58" s="218"/>
      <c r="Q58" s="218"/>
    </row>
    <row r="59" spans="1:26" x14ac:dyDescent="0.25">
      <c r="C59" s="144" t="s">
        <v>262</v>
      </c>
      <c r="M59" s="218"/>
      <c r="N59" s="218"/>
      <c r="O59" s="218"/>
      <c r="P59" s="218"/>
      <c r="Q59" s="218"/>
    </row>
    <row r="60" spans="1:26" x14ac:dyDescent="0.25">
      <c r="M60" s="218"/>
      <c r="N60" s="218"/>
      <c r="O60" s="218"/>
      <c r="P60" s="218"/>
      <c r="Q60" s="218"/>
    </row>
    <row r="61" spans="1:26" s="125" customFormat="1" x14ac:dyDescent="0.25">
      <c r="A61" s="210"/>
      <c r="B61" s="204"/>
      <c r="C61" s="205"/>
      <c r="D61" s="211"/>
      <c r="E61" s="213" t="s">
        <v>148</v>
      </c>
      <c r="G61" s="125" t="s">
        <v>88</v>
      </c>
      <c r="J61" s="225">
        <f t="shared" ref="J61:R61" si="24" xml:space="preserve"> J53</f>
        <v>0</v>
      </c>
      <c r="K61" s="225">
        <f t="shared" si="24"/>
        <v>0</v>
      </c>
      <c r="L61" s="225">
        <f t="shared" si="24"/>
        <v>0</v>
      </c>
      <c r="M61" s="225">
        <f t="shared" si="24"/>
        <v>12.357917810845381</v>
      </c>
      <c r="N61" s="225">
        <f t="shared" si="24"/>
        <v>12.014857275055574</v>
      </c>
      <c r="O61" s="225">
        <f t="shared" si="24"/>
        <v>11.703058850193502</v>
      </c>
      <c r="P61" s="225">
        <f t="shared" si="24"/>
        <v>11.404836823349337</v>
      </c>
      <c r="Q61" s="225">
        <f t="shared" si="24"/>
        <v>11.114214209482018</v>
      </c>
      <c r="R61" s="225">
        <f t="shared" si="24"/>
        <v>0</v>
      </c>
      <c r="S61" s="126"/>
      <c r="T61" s="126"/>
      <c r="U61" s="126"/>
      <c r="V61" s="126"/>
      <c r="W61" s="126"/>
      <c r="X61" s="126"/>
      <c r="Y61" s="126"/>
      <c r="Z61" s="126"/>
    </row>
    <row r="62" spans="1:26" x14ac:dyDescent="0.25">
      <c r="L62" s="299"/>
      <c r="M62" s="341"/>
      <c r="N62" s="341"/>
      <c r="O62" s="341"/>
      <c r="P62" s="341"/>
      <c r="Q62" s="341"/>
      <c r="R62" s="299"/>
    </row>
    <row r="63" spans="1:26" x14ac:dyDescent="0.25">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25">
      <c r="C65" s="144" t="s">
        <v>263</v>
      </c>
    </row>
    <row r="67" spans="1:16383" x14ac:dyDescent="0.25">
      <c r="B67" s="80" t="s">
        <v>149</v>
      </c>
    </row>
    <row r="68" spans="1:16383" s="253" customFormat="1" x14ac:dyDescent="0.25">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5">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9.9975945132209088E-3</v>
      </c>
      <c r="Q69" s="253">
        <f>Index!Q$135</f>
        <v>9.9706606165028688E-3</v>
      </c>
      <c r="R69" s="253">
        <f>Index!R$135</f>
        <v>9.9999999999997868E-3</v>
      </c>
    </row>
    <row r="70" spans="1:16383" s="213" customFormat="1" x14ac:dyDescent="0.25">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3.0997594513221483E-2</v>
      </c>
      <c r="Q70" s="213">
        <f t="shared" si="26"/>
        <v>3.0970660616504109E-2</v>
      </c>
      <c r="R70" s="213">
        <f t="shared" si="26"/>
        <v>2.9999999999998916E-2</v>
      </c>
      <c r="S70" s="218"/>
      <c r="T70" s="218"/>
      <c r="U70" s="218"/>
      <c r="V70" s="218"/>
      <c r="W70" s="218"/>
      <c r="X70" s="218"/>
      <c r="Y70" s="218"/>
      <c r="Z70" s="218"/>
    </row>
    <row r="71" spans="1:16383" s="213" customFormat="1" x14ac:dyDescent="0.25">
      <c r="A71" s="214"/>
      <c r="B71" s="215"/>
      <c r="C71" s="216"/>
      <c r="D71" s="217"/>
      <c r="S71" s="218"/>
      <c r="T71" s="218"/>
      <c r="U71" s="218"/>
      <c r="V71" s="218"/>
      <c r="W71" s="218"/>
      <c r="X71" s="218"/>
      <c r="Y71" s="218"/>
      <c r="Z71" s="218"/>
    </row>
    <row r="72" spans="1:16383" x14ac:dyDescent="0.25">
      <c r="B72" s="80" t="s">
        <v>151</v>
      </c>
    </row>
    <row r="73" spans="1:16383" s="199" customFormat="1" x14ac:dyDescent="0.25">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156.15683143012828</v>
      </c>
      <c r="N73" s="292">
        <f t="shared" si="27"/>
        <v>150.48318634401693</v>
      </c>
      <c r="O73" s="292">
        <f t="shared" si="27"/>
        <v>147.93692238469706</v>
      </c>
      <c r="P73" s="292">
        <f t="shared" si="27"/>
        <v>148.32302731108979</v>
      </c>
      <c r="Q73" s="292">
        <f t="shared" si="27"/>
        <v>144.40300224931849</v>
      </c>
      <c r="R73" s="292">
        <f t="shared" si="27"/>
        <v>140.58290671863037</v>
      </c>
    </row>
    <row r="74" spans="1:16383" s="213" customFormat="1" x14ac:dyDescent="0.25">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3.0997594513221483E-2</v>
      </c>
      <c r="Q74" s="213">
        <f t="shared" si="28"/>
        <v>3.0970660616504109E-2</v>
      </c>
      <c r="R74" s="213">
        <f t="shared" si="28"/>
        <v>2.9999999999998916E-2</v>
      </c>
      <c r="S74" s="218"/>
      <c r="T74" s="218"/>
      <c r="U74" s="218"/>
      <c r="V74" s="218"/>
      <c r="W74" s="218"/>
      <c r="X74" s="218"/>
      <c r="Y74" s="218"/>
      <c r="Z74" s="218"/>
    </row>
    <row r="75" spans="1:16383" x14ac:dyDescent="0.25">
      <c r="E75" s="56" t="s">
        <v>152</v>
      </c>
      <c r="G75" s="201" t="s">
        <v>88</v>
      </c>
      <c r="J75" s="225">
        <f t="shared" ref="J75:L75" si="29">J73*J74</f>
        <v>0</v>
      </c>
      <c r="K75" s="225">
        <f t="shared" si="29"/>
        <v>0</v>
      </c>
      <c r="L75" s="225">
        <f t="shared" si="29"/>
        <v>0</v>
      </c>
      <c r="M75" s="225">
        <f>M73*M74</f>
        <v>3.2026796828833888</v>
      </c>
      <c r="N75" s="225">
        <f t="shared" ref="N75:R75" si="30">N73*N74</f>
        <v>6.1798681775302882</v>
      </c>
      <c r="O75" s="225">
        <f t="shared" si="30"/>
        <v>9.1350116522507125</v>
      </c>
      <c r="P75" s="225">
        <f t="shared" si="30"/>
        <v>4.5976570575626372</v>
      </c>
      <c r="Q75" s="225">
        <f t="shared" si="30"/>
        <v>4.4722563746679223</v>
      </c>
      <c r="R75" s="225">
        <f t="shared" si="30"/>
        <v>4.2174872015587583</v>
      </c>
    </row>
    <row r="77" spans="1:16383" s="253" customFormat="1" x14ac:dyDescent="0.25">
      <c r="A77" s="249"/>
      <c r="B77" s="250"/>
      <c r="C77" s="251"/>
      <c r="D77" s="252"/>
      <c r="E77" s="49" t="str">
        <f xml:space="preserve"> InpR!E$94</f>
        <v>Run-off rate - CPI(H) + RPI wedge - active - WR</v>
      </c>
      <c r="F77" s="253">
        <f xml:space="preserve"> InpR!F$94</f>
        <v>0</v>
      </c>
      <c r="G77" s="271" t="str">
        <f xml:space="preserve"> InpR!G$94</f>
        <v>%</v>
      </c>
      <c r="H77" s="253" t="str">
        <f xml:space="preserve"> InpR!I$94</f>
        <v>PR19 Financial model, 'F_OutputsMaster' sheet row 953, PR19FM2090POST</v>
      </c>
      <c r="I77" s="253" t="e">
        <f xml:space="preserve"> InpR!#REF!</f>
        <v>#REF!</v>
      </c>
      <c r="J77" s="253">
        <f xml:space="preserve"> InpR!J$94</f>
        <v>0</v>
      </c>
      <c r="K77" s="253">
        <f xml:space="preserve"> InpR!K$94</f>
        <v>0</v>
      </c>
      <c r="L77" s="253">
        <f xml:space="preserve"> InpR!L$94</f>
        <v>0</v>
      </c>
      <c r="M77" s="253">
        <f xml:space="preserve"> InpR!M$94</f>
        <v>5.57E-2</v>
      </c>
      <c r="N77" s="253">
        <f xml:space="preserve"> InpR!N$94</f>
        <v>5.57E-2</v>
      </c>
      <c r="O77" s="253">
        <f xml:space="preserve"> InpR!O$94</f>
        <v>5.57E-2</v>
      </c>
      <c r="P77" s="253">
        <f xml:space="preserve"> InpR!P$94</f>
        <v>5.57E-2</v>
      </c>
      <c r="Q77" s="253">
        <f xml:space="preserve"> InpR!Q$94</f>
        <v>5.57E-2</v>
      </c>
      <c r="R77" s="253">
        <f xml:space="preserve"> InpR!R$94</f>
        <v>0</v>
      </c>
    </row>
    <row r="78" spans="1:16383" s="199" customFormat="1" x14ac:dyDescent="0.25">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156.15683143012828</v>
      </c>
      <c r="N78" s="292">
        <f t="shared" si="31"/>
        <v>150.48318634401693</v>
      </c>
      <c r="O78" s="292">
        <f t="shared" si="31"/>
        <v>147.93692238469706</v>
      </c>
      <c r="P78" s="292">
        <f t="shared" si="31"/>
        <v>148.32302731108979</v>
      </c>
      <c r="Q78" s="292">
        <f t="shared" si="31"/>
        <v>144.40300224931849</v>
      </c>
      <c r="R78" s="292">
        <f t="shared" si="31"/>
        <v>140.58290671863037</v>
      </c>
    </row>
    <row r="79" spans="1:16383" x14ac:dyDescent="0.25">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3.2026796828833888</v>
      </c>
      <c r="N79" s="225">
        <f t="shared" si="32"/>
        <v>6.1798681775302882</v>
      </c>
      <c r="O79" s="225">
        <f t="shared" si="32"/>
        <v>9.1350116522507125</v>
      </c>
      <c r="P79" s="225">
        <f t="shared" si="32"/>
        <v>4.5976570575626372</v>
      </c>
      <c r="Q79" s="225">
        <f t="shared" si="32"/>
        <v>4.4722563746679223</v>
      </c>
      <c r="R79" s="225">
        <f t="shared" si="32"/>
        <v>4.2174872015587583</v>
      </c>
    </row>
    <row r="80" spans="1:16383" x14ac:dyDescent="0.25">
      <c r="E80" s="56" t="s">
        <v>153</v>
      </c>
      <c r="F80" s="295"/>
      <c r="G80" s="295" t="s">
        <v>88</v>
      </c>
      <c r="H80" s="295"/>
      <c r="I80" s="295"/>
      <c r="J80" s="225">
        <f t="shared" ref="J80:R80" si="33" xml:space="preserve"> (J78+J79) * J77</f>
        <v>0</v>
      </c>
      <c r="K80" s="225">
        <f t="shared" si="33"/>
        <v>0</v>
      </c>
      <c r="L80" s="225">
        <f t="shared" si="33"/>
        <v>0</v>
      </c>
      <c r="M80" s="225">
        <f t="shared" si="33"/>
        <v>8.8763247689947509</v>
      </c>
      <c r="N80" s="225">
        <f xml:space="preserve"> (N78+N79) * N77</f>
        <v>8.7261321368501807</v>
      </c>
      <c r="O80" s="225">
        <f t="shared" si="33"/>
        <v>8.7489067258579905</v>
      </c>
      <c r="P80" s="225">
        <f t="shared" si="33"/>
        <v>8.5176821193339389</v>
      </c>
      <c r="Q80" s="225">
        <f t="shared" si="33"/>
        <v>8.2923519053560426</v>
      </c>
      <c r="R80" s="225">
        <f t="shared" si="33"/>
        <v>0</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5">
      <c r="F81" s="304"/>
      <c r="G81" s="304"/>
      <c r="H81" s="304"/>
    </row>
    <row r="82" spans="1:26" s="242" customFormat="1" x14ac:dyDescent="0.25">
      <c r="A82" s="238"/>
      <c r="B82" s="239"/>
      <c r="C82" s="240"/>
      <c r="D82" s="241"/>
      <c r="E82" s="242" t="str">
        <f>InpR!$E$87</f>
        <v>RCV - CPI(H) + RPI wedge initial balance - nominal - WR</v>
      </c>
      <c r="F82" s="302">
        <f>InpR!$F$87</f>
        <v>156.15683143012828</v>
      </c>
      <c r="G82" s="242" t="str">
        <f>InpR!$G$87</f>
        <v>£m</v>
      </c>
      <c r="H82" s="303"/>
    </row>
    <row r="83" spans="1:26" s="49" customFormat="1" x14ac:dyDescent="0.25">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5">
      <c r="A84" s="67"/>
      <c r="B84" s="78"/>
      <c r="C84" s="142"/>
      <c r="D84" s="72"/>
      <c r="S84" s="59"/>
      <c r="T84" s="59"/>
      <c r="U84" s="59"/>
      <c r="V84" s="59"/>
      <c r="W84" s="59"/>
      <c r="X84" s="59"/>
      <c r="Y84" s="59"/>
      <c r="Z84" s="59"/>
    </row>
    <row r="85" spans="1:26" s="59" customFormat="1" x14ac:dyDescent="0.25">
      <c r="A85" s="66"/>
      <c r="B85" s="70"/>
      <c r="C85" s="145"/>
      <c r="D85" s="75"/>
      <c r="E85" s="56" t="s">
        <v>154</v>
      </c>
      <c r="G85" s="201" t="s">
        <v>88</v>
      </c>
      <c r="J85" s="293">
        <f t="shared" ref="J85:R85" si="34" xml:space="preserve"> I88</f>
        <v>0</v>
      </c>
      <c r="K85" s="293">
        <f t="shared" si="34"/>
        <v>0</v>
      </c>
      <c r="L85" s="293">
        <f t="shared" si="34"/>
        <v>0</v>
      </c>
      <c r="M85" s="293">
        <f t="shared" si="34"/>
        <v>156.15683143012828</v>
      </c>
      <c r="N85" s="293">
        <f t="shared" si="34"/>
        <v>150.48318634401693</v>
      </c>
      <c r="O85" s="293">
        <f t="shared" si="34"/>
        <v>147.93692238469706</v>
      </c>
      <c r="P85" s="293">
        <f t="shared" si="34"/>
        <v>148.32302731108979</v>
      </c>
      <c r="Q85" s="293">
        <f t="shared" si="34"/>
        <v>144.40300224931849</v>
      </c>
      <c r="R85" s="293">
        <f t="shared" si="34"/>
        <v>140.58290671863037</v>
      </c>
    </row>
    <row r="86" spans="1:26" s="59" customFormat="1" x14ac:dyDescent="0.25">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3.2026796828833888</v>
      </c>
      <c r="N86" s="293">
        <f t="shared" si="35"/>
        <v>6.1798681775302882</v>
      </c>
      <c r="O86" s="293">
        <f t="shared" si="35"/>
        <v>9.1350116522507125</v>
      </c>
      <c r="P86" s="293">
        <f t="shared" si="35"/>
        <v>4.5976570575626372</v>
      </c>
      <c r="Q86" s="293">
        <f t="shared" si="35"/>
        <v>4.4722563746679223</v>
      </c>
      <c r="R86" s="293">
        <f t="shared" si="35"/>
        <v>4.2174872015587583</v>
      </c>
    </row>
    <row r="87" spans="1:26" s="59" customFormat="1" x14ac:dyDescent="0.25">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8.8763247689947509</v>
      </c>
      <c r="N87" s="293">
        <f t="shared" si="36"/>
        <v>8.7261321368501807</v>
      </c>
      <c r="O87" s="293">
        <f t="shared" si="36"/>
        <v>8.7489067258579905</v>
      </c>
      <c r="P87" s="293">
        <f t="shared" si="36"/>
        <v>8.5176821193339389</v>
      </c>
      <c r="Q87" s="293">
        <f t="shared" si="36"/>
        <v>8.2923519053560426</v>
      </c>
      <c r="R87" s="293">
        <f t="shared" si="36"/>
        <v>0</v>
      </c>
    </row>
    <row r="88" spans="1:26" s="173" customFormat="1" x14ac:dyDescent="0.25">
      <c r="A88" s="169"/>
      <c r="B88" s="170"/>
      <c r="C88" s="171"/>
      <c r="D88" s="172"/>
      <c r="E88" s="173" t="s">
        <v>155</v>
      </c>
      <c r="G88" s="202" t="s">
        <v>88</v>
      </c>
      <c r="J88" s="294">
        <f t="shared" ref="J88:R88" si="37" xml:space="preserve"> IF( J83 = 1, $F82, J85 + J86 - J87)</f>
        <v>0</v>
      </c>
      <c r="K88" s="294">
        <f t="shared" si="37"/>
        <v>0</v>
      </c>
      <c r="L88" s="294">
        <f t="shared" si="37"/>
        <v>156.15683143012828</v>
      </c>
      <c r="M88" s="294">
        <f t="shared" si="37"/>
        <v>150.48318634401693</v>
      </c>
      <c r="N88" s="294">
        <f t="shared" si="37"/>
        <v>147.93692238469706</v>
      </c>
      <c r="O88" s="294">
        <f t="shared" si="37"/>
        <v>148.32302731108979</v>
      </c>
      <c r="P88" s="294">
        <f t="shared" si="37"/>
        <v>144.40300224931849</v>
      </c>
      <c r="Q88" s="294">
        <f t="shared" si="37"/>
        <v>140.58290671863037</v>
      </c>
      <c r="R88" s="294">
        <f t="shared" si="37"/>
        <v>144.80039392018912</v>
      </c>
    </row>
    <row r="90" spans="1:26" s="126" customFormat="1" x14ac:dyDescent="0.25">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156.15683143012828</v>
      </c>
      <c r="N90" s="226">
        <f t="shared" si="38"/>
        <v>150.48318634401693</v>
      </c>
      <c r="O90" s="226">
        <f t="shared" si="38"/>
        <v>147.93692238469706</v>
      </c>
      <c r="P90" s="226">
        <f t="shared" si="38"/>
        <v>148.32302731108979</v>
      </c>
      <c r="Q90" s="226">
        <f t="shared" si="38"/>
        <v>144.40300224931849</v>
      </c>
      <c r="R90" s="226">
        <f t="shared" si="38"/>
        <v>140.58290671863037</v>
      </c>
    </row>
    <row r="91" spans="1:26" s="126" customFormat="1" x14ac:dyDescent="0.25">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3.2026796828833888</v>
      </c>
      <c r="N91" s="293">
        <f t="shared" si="39"/>
        <v>6.1798681775302882</v>
      </c>
      <c r="O91" s="293">
        <f t="shared" si="39"/>
        <v>9.1350116522507125</v>
      </c>
      <c r="P91" s="293">
        <f t="shared" si="39"/>
        <v>4.5976570575626372</v>
      </c>
      <c r="Q91" s="293">
        <f t="shared" si="39"/>
        <v>4.4722563746679223</v>
      </c>
      <c r="R91" s="293">
        <f t="shared" si="39"/>
        <v>4.2174872015587583</v>
      </c>
    </row>
    <row r="92" spans="1:26" s="126" customFormat="1" x14ac:dyDescent="0.25">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156.15683143012828</v>
      </c>
      <c r="M92" s="226">
        <f t="shared" si="40"/>
        <v>150.48318634401693</v>
      </c>
      <c r="N92" s="226">
        <f t="shared" si="40"/>
        <v>147.93692238469706</v>
      </c>
      <c r="O92" s="226">
        <f t="shared" si="40"/>
        <v>148.32302731108979</v>
      </c>
      <c r="P92" s="226">
        <f t="shared" si="40"/>
        <v>144.40300224931849</v>
      </c>
      <c r="Q92" s="226">
        <f t="shared" si="40"/>
        <v>140.58290671863037</v>
      </c>
      <c r="R92" s="226">
        <f t="shared" si="40"/>
        <v>144.80039392018912</v>
      </c>
    </row>
    <row r="93" spans="1:26" s="60" customFormat="1" x14ac:dyDescent="0.25">
      <c r="A93" s="68"/>
      <c r="B93" s="80"/>
      <c r="C93" s="144"/>
      <c r="D93" s="76"/>
      <c r="E93" s="56" t="s">
        <v>173</v>
      </c>
      <c r="G93" s="126" t="s">
        <v>88</v>
      </c>
      <c r="H93" s="296"/>
      <c r="I93" s="296"/>
      <c r="J93" s="226">
        <f t="shared" ref="J93:K93" si="41" xml:space="preserve"> ( (J90+J91) + J92) / 2</f>
        <v>0</v>
      </c>
      <c r="K93" s="226">
        <f t="shared" si="41"/>
        <v>0</v>
      </c>
      <c r="L93" s="226">
        <f xml:space="preserve"> ( (L90+L91) + L92) / 2</f>
        <v>78.078415715064139</v>
      </c>
      <c r="M93" s="226">
        <f xml:space="preserve"> ( (M90+M91) + M92) / 2</f>
        <v>154.92134872851432</v>
      </c>
      <c r="N93" s="226">
        <f t="shared" ref="N93:P93" si="42" xml:space="preserve"> ( (N90+N91) + N92) / 2</f>
        <v>152.29998845312213</v>
      </c>
      <c r="O93" s="226">
        <f t="shared" si="42"/>
        <v>152.69748067401878</v>
      </c>
      <c r="P93" s="226">
        <f t="shared" si="42"/>
        <v>148.66184330898545</v>
      </c>
      <c r="Q93" s="226">
        <f xml:space="preserve"> ( (Q90+Q91) + Q92) / 2</f>
        <v>144.72908267130839</v>
      </c>
      <c r="R93" s="226">
        <f t="shared" ref="R93" si="43" xml:space="preserve"> ( (R90+R91) + R92) / 2</f>
        <v>144.80039392018912</v>
      </c>
    </row>
    <row r="94" spans="1:26" s="60" customFormat="1" x14ac:dyDescent="0.25">
      <c r="A94" s="68"/>
      <c r="B94" s="80"/>
      <c r="C94" s="144"/>
      <c r="D94" s="76"/>
      <c r="J94" s="126"/>
      <c r="K94" s="126"/>
      <c r="L94" s="126"/>
      <c r="M94" s="126"/>
      <c r="N94" s="126"/>
      <c r="O94" s="126"/>
      <c r="P94" s="126"/>
      <c r="Q94" s="126"/>
      <c r="R94" s="126"/>
    </row>
    <row r="95" spans="1:26" x14ac:dyDescent="0.25">
      <c r="B95" s="80" t="s">
        <v>156</v>
      </c>
    </row>
    <row r="96" spans="1:26" s="253" customFormat="1" x14ac:dyDescent="0.25">
      <c r="A96" s="249"/>
      <c r="B96" s="250"/>
      <c r="C96" s="251"/>
      <c r="D96" s="252"/>
      <c r="E96" s="253" t="str">
        <f xml:space="preserve"> InpR!E$101</f>
        <v>WACC on RCV - CPI(H) + RPI wedge bf and additions - WR</v>
      </c>
      <c r="F96" s="253">
        <f xml:space="preserve"> InpR!F$101</f>
        <v>0</v>
      </c>
      <c r="G96" s="271" t="str">
        <f xml:space="preserve"> InpR!G$101</f>
        <v>%</v>
      </c>
      <c r="H96" s="253" t="str">
        <f xml:space="preserve"> InpR!I$101</f>
        <v>PR19 Financial model, 'Water Resources' sheet row 980</v>
      </c>
      <c r="I96" s="253" t="e">
        <f xml:space="preserve"> InpR!#REF!</f>
        <v>#REF!</v>
      </c>
      <c r="J96" s="253">
        <f xml:space="preserve"> InpR!J$101</f>
        <v>0</v>
      </c>
      <c r="K96" s="253">
        <f xml:space="preserve"> InpR!K$101</f>
        <v>0</v>
      </c>
      <c r="L96" s="253">
        <f xml:space="preserve"> InpR!L$101</f>
        <v>0</v>
      </c>
      <c r="M96" s="253">
        <f xml:space="preserve"> InpR!M$101</f>
        <v>2.2181345335277269E-2</v>
      </c>
      <c r="N96" s="253">
        <f xml:space="preserve"> InpR!N$101</f>
        <v>2.2181345335277269E-2</v>
      </c>
      <c r="O96" s="253">
        <f xml:space="preserve"> InpR!O$101</f>
        <v>2.2181345335277269E-2</v>
      </c>
      <c r="P96" s="253">
        <f xml:space="preserve"> InpR!P$101</f>
        <v>2.2181345335277269E-2</v>
      </c>
      <c r="Q96" s="253">
        <f xml:space="preserve"> InpR!Q$101</f>
        <v>2.2181345335277269E-2</v>
      </c>
      <c r="R96" s="253">
        <f xml:space="preserve"> InpR!R$101</f>
        <v>0</v>
      </c>
    </row>
    <row r="97" spans="1:26" s="126" customFormat="1" x14ac:dyDescent="0.25">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5">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78.078415715064139</v>
      </c>
      <c r="M98" s="225">
        <f t="shared" si="44"/>
        <v>154.92134872851432</v>
      </c>
      <c r="N98" s="225">
        <f t="shared" si="44"/>
        <v>152.29998845312213</v>
      </c>
      <c r="O98" s="225">
        <f t="shared" si="44"/>
        <v>152.69748067401878</v>
      </c>
      <c r="P98" s="225">
        <f t="shared" si="44"/>
        <v>148.66184330898545</v>
      </c>
      <c r="Q98" s="225">
        <f t="shared" si="44"/>
        <v>144.72908267130839</v>
      </c>
      <c r="R98" s="225">
        <f t="shared" si="44"/>
        <v>144.80039392018912</v>
      </c>
    </row>
    <row r="99" spans="1:26" x14ac:dyDescent="0.25">
      <c r="E99" s="56" t="s">
        <v>157</v>
      </c>
      <c r="F99" s="295"/>
      <c r="G99" s="225" t="s">
        <v>88</v>
      </c>
      <c r="H99" s="295"/>
      <c r="I99" s="295"/>
      <c r="J99" s="295">
        <f t="shared" ref="J99:K99" si="45">J96*J97*J98</f>
        <v>0</v>
      </c>
      <c r="K99" s="295">
        <f t="shared" si="45"/>
        <v>0</v>
      </c>
      <c r="L99" s="295">
        <f>L96*L97*L98</f>
        <v>0</v>
      </c>
      <c r="M99" s="295">
        <f>M96*M97*M98</f>
        <v>3.4363639359540943</v>
      </c>
      <c r="N99" s="295">
        <f t="shared" ref="N99:R99" si="46">N96*N97*N98</f>
        <v>3.3782186384374424</v>
      </c>
      <c r="O99" s="295">
        <f t="shared" si="46"/>
        <v>3.3870355506572376</v>
      </c>
      <c r="P99" s="295">
        <f t="shared" si="46"/>
        <v>3.2975196846154846</v>
      </c>
      <c r="Q99" s="295">
        <f t="shared" si="46"/>
        <v>3.2102857627901846</v>
      </c>
      <c r="R99" s="295">
        <f t="shared" si="46"/>
        <v>0</v>
      </c>
    </row>
    <row r="101" spans="1:26" x14ac:dyDescent="0.25">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5">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156.15683143012828</v>
      </c>
      <c r="M102" s="226">
        <f t="shared" si="47"/>
        <v>150.48318634401693</v>
      </c>
      <c r="N102" s="226">
        <f t="shared" si="47"/>
        <v>147.93692238469706</v>
      </c>
      <c r="O102" s="226">
        <f t="shared" si="47"/>
        <v>148.32302731108979</v>
      </c>
      <c r="P102" s="226">
        <f t="shared" si="47"/>
        <v>144.40300224931849</v>
      </c>
      <c r="Q102" s="226">
        <f t="shared" si="47"/>
        <v>140.58290671863037</v>
      </c>
      <c r="R102" s="226">
        <f t="shared" si="47"/>
        <v>144.80039392018912</v>
      </c>
    </row>
    <row r="103" spans="1:26" x14ac:dyDescent="0.25">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140.58290671863037</v>
      </c>
      <c r="R103" s="225">
        <f t="shared" si="48"/>
        <v>0</v>
      </c>
    </row>
    <row r="104" spans="1:26" x14ac:dyDescent="0.25">
      <c r="J104" s="125"/>
      <c r="K104" s="125"/>
      <c r="L104" s="125"/>
      <c r="M104" s="125"/>
      <c r="N104" s="125"/>
      <c r="O104" s="125"/>
      <c r="P104" s="125"/>
      <c r="Q104" s="125"/>
      <c r="R104" s="125"/>
    </row>
    <row r="105" spans="1:26" x14ac:dyDescent="0.25">
      <c r="B105" s="80" t="s">
        <v>158</v>
      </c>
    </row>
    <row r="106" spans="1:26" x14ac:dyDescent="0.25">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8.8763247689947509</v>
      </c>
      <c r="N106" s="225">
        <f t="shared" si="49"/>
        <v>8.7261321368501807</v>
      </c>
      <c r="O106" s="225">
        <f t="shared" si="49"/>
        <v>8.7489067258579905</v>
      </c>
      <c r="P106" s="225">
        <f t="shared" si="49"/>
        <v>8.5176821193339389</v>
      </c>
      <c r="Q106" s="225">
        <f t="shared" si="49"/>
        <v>8.2923519053560426</v>
      </c>
      <c r="R106" s="225">
        <f t="shared" si="49"/>
        <v>0</v>
      </c>
    </row>
    <row r="107" spans="1:26" s="125" customFormat="1" x14ac:dyDescent="0.25">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3.4363639359540943</v>
      </c>
      <c r="N107" s="225">
        <f t="shared" si="50"/>
        <v>3.3782186384374424</v>
      </c>
      <c r="O107" s="225">
        <f t="shared" si="50"/>
        <v>3.3870355506572376</v>
      </c>
      <c r="P107" s="225">
        <f t="shared" si="50"/>
        <v>3.2975196846154846</v>
      </c>
      <c r="Q107" s="225">
        <f t="shared" si="50"/>
        <v>3.2102857627901846</v>
      </c>
      <c r="R107" s="225">
        <f t="shared" si="50"/>
        <v>0</v>
      </c>
      <c r="S107" s="126"/>
      <c r="T107" s="126"/>
      <c r="U107" s="126"/>
      <c r="V107" s="126"/>
      <c r="W107" s="126"/>
      <c r="X107" s="126"/>
      <c r="Y107" s="126"/>
      <c r="Z107" s="126"/>
    </row>
    <row r="108" spans="1:26" x14ac:dyDescent="0.25">
      <c r="E108" s="56" t="s">
        <v>266</v>
      </c>
      <c r="F108" s="295"/>
      <c r="G108" s="225" t="str">
        <f t="shared" si="50"/>
        <v>£m</v>
      </c>
      <c r="H108" s="295">
        <f>SUM(J108:R108)</f>
        <v>59.870821228847355</v>
      </c>
      <c r="I108" s="295"/>
      <c r="J108" s="295">
        <f t="shared" ref="J108:R108" si="51">SUM(J106:J107)</f>
        <v>0</v>
      </c>
      <c r="K108" s="295">
        <f t="shared" si="51"/>
        <v>0</v>
      </c>
      <c r="L108" s="295">
        <f t="shared" si="51"/>
        <v>0</v>
      </c>
      <c r="M108" s="295">
        <f t="shared" si="51"/>
        <v>12.312688704948846</v>
      </c>
      <c r="N108" s="295">
        <f t="shared" si="51"/>
        <v>12.104350775287623</v>
      </c>
      <c r="O108" s="295">
        <f t="shared" si="51"/>
        <v>12.135942276515228</v>
      </c>
      <c r="P108" s="295">
        <f t="shared" si="51"/>
        <v>11.815201803949424</v>
      </c>
      <c r="Q108" s="295">
        <f t="shared" si="51"/>
        <v>11.502637668146228</v>
      </c>
      <c r="R108" s="295">
        <f t="shared" si="51"/>
        <v>0</v>
      </c>
    </row>
    <row r="110" spans="1:26" x14ac:dyDescent="0.25">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25">
      <c r="C112" s="144" t="s">
        <v>265</v>
      </c>
    </row>
    <row r="114" spans="1:26" x14ac:dyDescent="0.25">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12.357917810845381</v>
      </c>
      <c r="N114" s="225">
        <f t="shared" si="52"/>
        <v>12.014857275055574</v>
      </c>
      <c r="O114" s="225">
        <f t="shared" si="52"/>
        <v>11.703058850193502</v>
      </c>
      <c r="P114" s="225">
        <f t="shared" si="52"/>
        <v>11.404836823349337</v>
      </c>
      <c r="Q114" s="225">
        <f t="shared" si="52"/>
        <v>11.114214209482018</v>
      </c>
      <c r="R114" s="225">
        <f xml:space="preserve"> R$61</f>
        <v>0</v>
      </c>
    </row>
    <row r="115" spans="1:26" x14ac:dyDescent="0.25">
      <c r="E115" s="56" t="str">
        <f t="shared" ref="E115:R115" si="53" xml:space="preserve"> E$108</f>
        <v>Total nominal revenue company should have received</v>
      </c>
      <c r="F115" s="225">
        <f t="shared" si="53"/>
        <v>0</v>
      </c>
      <c r="G115" s="225" t="str">
        <f t="shared" si="53"/>
        <v>£m</v>
      </c>
      <c r="H115" s="225">
        <f t="shared" si="53"/>
        <v>59.870821228847355</v>
      </c>
      <c r="I115" s="225">
        <f t="shared" si="53"/>
        <v>0</v>
      </c>
      <c r="J115" s="225">
        <f t="shared" si="53"/>
        <v>0</v>
      </c>
      <c r="K115" s="225">
        <f t="shared" si="53"/>
        <v>0</v>
      </c>
      <c r="L115" s="225">
        <f t="shared" si="53"/>
        <v>0</v>
      </c>
      <c r="M115" s="225">
        <f t="shared" si="53"/>
        <v>12.312688704948846</v>
      </c>
      <c r="N115" s="225">
        <f t="shared" si="53"/>
        <v>12.104350775287623</v>
      </c>
      <c r="O115" s="225">
        <f t="shared" si="53"/>
        <v>12.135942276515228</v>
      </c>
      <c r="P115" s="225">
        <f t="shared" si="53"/>
        <v>11.815201803949424</v>
      </c>
      <c r="Q115" s="225">
        <f t="shared" si="53"/>
        <v>11.502637668146228</v>
      </c>
      <c r="R115" s="225">
        <f t="shared" si="53"/>
        <v>0</v>
      </c>
    </row>
    <row r="116" spans="1:26" s="225" customFormat="1" x14ac:dyDescent="0.25">
      <c r="A116" s="221"/>
      <c r="B116" s="222"/>
      <c r="C116" s="223"/>
      <c r="D116" s="224"/>
      <c r="E116" s="56" t="s">
        <v>267</v>
      </c>
      <c r="G116" s="225" t="str">
        <f t="shared" ref="G116" si="54" xml:space="preserve"> G$99</f>
        <v>£m</v>
      </c>
      <c r="H116" s="295">
        <f>SUM(J116:R116)</f>
        <v>1.2759362599215383</v>
      </c>
      <c r="M116" s="225">
        <f>M115-M114</f>
        <v>-4.522910589653506E-2</v>
      </c>
      <c r="N116" s="225">
        <f t="shared" ref="N116:Q116" si="55">N115-N114</f>
        <v>8.9493500232048717E-2</v>
      </c>
      <c r="O116" s="225">
        <f t="shared" si="55"/>
        <v>0.43288342632172672</v>
      </c>
      <c r="P116" s="225">
        <f t="shared" si="55"/>
        <v>0.41036498060008775</v>
      </c>
      <c r="Q116" s="225">
        <f t="shared" si="55"/>
        <v>0.38842345866421013</v>
      </c>
      <c r="S116" s="226"/>
      <c r="T116" s="226"/>
      <c r="U116" s="226"/>
      <c r="V116" s="226"/>
      <c r="W116" s="226"/>
      <c r="X116" s="226"/>
      <c r="Y116" s="226"/>
      <c r="Z116" s="226"/>
    </row>
    <row r="118" spans="1:26" x14ac:dyDescent="0.25">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25">
      <c r="C120" s="144" t="s">
        <v>264</v>
      </c>
    </row>
    <row r="121" spans="1:26" x14ac:dyDescent="0.25">
      <c r="C121" s="144" t="s">
        <v>159</v>
      </c>
    </row>
    <row r="122" spans="1:26" x14ac:dyDescent="0.25">
      <c r="C122" s="144" t="s">
        <v>160</v>
      </c>
    </row>
    <row r="124" spans="1:26" s="253" customFormat="1" x14ac:dyDescent="0.25">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5">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5">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25">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156.15683143012828</v>
      </c>
      <c r="N128" s="297">
        <f t="shared" si="58"/>
        <v>151.0359673111883</v>
      </c>
      <c r="O128" s="297">
        <f t="shared" si="58"/>
        <v>146.84315095956674</v>
      </c>
      <c r="P128" s="297">
        <f t="shared" si="58"/>
        <v>143.03241379283958</v>
      </c>
      <c r="Q128" s="297">
        <f t="shared" si="58"/>
        <v>139.38760461160501</v>
      </c>
      <c r="R128" s="297">
        <f t="shared" si="58"/>
        <v>135.83567391585024</v>
      </c>
    </row>
    <row r="129" spans="1:16383" x14ac:dyDescent="0.25">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25">
      <c r="A130" s="89"/>
      <c r="B130" s="95"/>
      <c r="C130" s="332"/>
      <c r="D130" s="91"/>
      <c r="E130" s="56" t="s">
        <v>162</v>
      </c>
      <c r="G130" s="125" t="s">
        <v>88</v>
      </c>
      <c r="J130" s="298">
        <f>J128*J129</f>
        <v>0</v>
      </c>
      <c r="K130" s="298">
        <f t="shared" ref="K130:L130" si="60">K128*K129</f>
        <v>0</v>
      </c>
      <c r="L130" s="298">
        <f t="shared" si="60"/>
        <v>0</v>
      </c>
      <c r="M130" s="298">
        <f>M128*M129</f>
        <v>3.7880667073156609</v>
      </c>
      <c r="N130" s="298">
        <f t="shared" ref="N130:R130" si="61">N128*N129</f>
        <v>4.4687991396924902</v>
      </c>
      <c r="O130" s="298">
        <f t="shared" si="61"/>
        <v>4.6261001183105925</v>
      </c>
      <c r="P130" s="298">
        <f t="shared" si="61"/>
        <v>4.5770372413709657</v>
      </c>
      <c r="Q130" s="298">
        <f t="shared" si="61"/>
        <v>4.4604033475713338</v>
      </c>
      <c r="R130" s="298">
        <f t="shared" si="61"/>
        <v>4.0750702174754805</v>
      </c>
    </row>
    <row r="132" spans="1:16383" s="253" customFormat="1" x14ac:dyDescent="0.25">
      <c r="A132" s="249"/>
      <c r="B132" s="250"/>
      <c r="C132" s="251"/>
      <c r="D132" s="252"/>
      <c r="E132" s="49" t="str">
        <f xml:space="preserve"> InpR!E$94</f>
        <v>Run-off rate - CPI(H) + RPI wedge - active - WR</v>
      </c>
      <c r="F132" s="253">
        <f xml:space="preserve"> InpR!F$94</f>
        <v>0</v>
      </c>
      <c r="G132" s="271" t="str">
        <f xml:space="preserve"> InpR!G$94</f>
        <v>%</v>
      </c>
      <c r="H132" s="253" t="str">
        <f xml:space="preserve"> InpR!I$94</f>
        <v>PR19 Financial model, 'F_OutputsMaster' sheet row 953, PR19FM2090POST</v>
      </c>
      <c r="I132" s="253" t="e">
        <f xml:space="preserve"> InpR!#REF!</f>
        <v>#REF!</v>
      </c>
      <c r="J132" s="253">
        <f xml:space="preserve"> InpR!J$94</f>
        <v>0</v>
      </c>
      <c r="K132" s="253">
        <f xml:space="preserve"> InpR!K$94</f>
        <v>0</v>
      </c>
      <c r="L132" s="253">
        <f xml:space="preserve"> InpR!L$94</f>
        <v>0</v>
      </c>
      <c r="M132" s="253">
        <f xml:space="preserve"> InpR!M$94</f>
        <v>5.57E-2</v>
      </c>
      <c r="N132" s="253">
        <f xml:space="preserve"> InpR!N$94</f>
        <v>5.57E-2</v>
      </c>
      <c r="O132" s="253">
        <f xml:space="preserve"> InpR!O$94</f>
        <v>5.57E-2</v>
      </c>
      <c r="P132" s="253">
        <f xml:space="preserve"> InpR!P$94</f>
        <v>5.57E-2</v>
      </c>
      <c r="Q132" s="253">
        <f xml:space="preserve"> InpR!Q$94</f>
        <v>5.57E-2</v>
      </c>
      <c r="R132" s="253">
        <f xml:space="preserve"> InpR!R$94</f>
        <v>0</v>
      </c>
    </row>
    <row r="133" spans="1:16383" s="199" customFormat="1" x14ac:dyDescent="0.25">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156.15683143012828</v>
      </c>
      <c r="N133" s="297">
        <f t="shared" si="62"/>
        <v>151.0359673111883</v>
      </c>
      <c r="O133" s="297">
        <f t="shared" si="62"/>
        <v>146.84315095956674</v>
      </c>
      <c r="P133" s="297">
        <f t="shared" si="62"/>
        <v>143.03241379283958</v>
      </c>
      <c r="Q133" s="297">
        <f t="shared" si="62"/>
        <v>139.38760461160501</v>
      </c>
      <c r="R133" s="297">
        <f t="shared" si="62"/>
        <v>135.83567391585024</v>
      </c>
    </row>
    <row r="134" spans="1:16383" s="125" customFormat="1" x14ac:dyDescent="0.25">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3.7880667073156609</v>
      </c>
      <c r="N134" s="298">
        <f t="shared" si="63"/>
        <v>4.4687991396924902</v>
      </c>
      <c r="O134" s="298">
        <f t="shared" si="63"/>
        <v>4.6261001183105925</v>
      </c>
      <c r="P134" s="298">
        <f t="shared" si="63"/>
        <v>4.5770372413709657</v>
      </c>
      <c r="Q134" s="298">
        <f t="shared" si="63"/>
        <v>4.4604033475713338</v>
      </c>
      <c r="R134" s="298">
        <f t="shared" si="63"/>
        <v>4.0750702174754805</v>
      </c>
      <c r="S134" s="126"/>
      <c r="T134" s="126"/>
      <c r="U134" s="126"/>
      <c r="V134" s="126"/>
      <c r="W134" s="126"/>
      <c r="X134" s="126"/>
      <c r="Y134" s="126"/>
      <c r="Z134" s="126"/>
    </row>
    <row r="135" spans="1:16383" x14ac:dyDescent="0.25">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8.9089308262556273</v>
      </c>
      <c r="N135" s="298">
        <f t="shared" si="64"/>
        <v>8.6616154913140608</v>
      </c>
      <c r="O135" s="298">
        <f t="shared" si="64"/>
        <v>8.4368372850377682</v>
      </c>
      <c r="P135" s="298">
        <f t="shared" si="64"/>
        <v>8.2218464226055268</v>
      </c>
      <c r="Q135" s="298">
        <f t="shared" si="64"/>
        <v>8.0123340433261223</v>
      </c>
      <c r="R135" s="298">
        <f t="shared" si="64"/>
        <v>0</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5">
      <c r="F136" s="304"/>
      <c r="G136" s="304"/>
      <c r="H136" s="304"/>
    </row>
    <row r="137" spans="1:16383" s="242" customFormat="1" x14ac:dyDescent="0.25">
      <c r="A137" s="238"/>
      <c r="B137" s="239"/>
      <c r="C137" s="240"/>
      <c r="D137" s="241"/>
      <c r="E137" s="242" t="str">
        <f>InpR!$E$87</f>
        <v>RCV - CPI(H) + RPI wedge initial balance - nominal - WR</v>
      </c>
      <c r="F137" s="302">
        <f>InpR!$F$87</f>
        <v>156.15683143012828</v>
      </c>
      <c r="G137" s="242" t="str">
        <f>InpR!$G$87</f>
        <v>£m</v>
      </c>
      <c r="H137" s="303"/>
    </row>
    <row r="138" spans="1:16383" s="49" customFormat="1" x14ac:dyDescent="0.25">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5">
      <c r="A139" s="67"/>
      <c r="B139" s="78"/>
      <c r="C139" s="142"/>
      <c r="D139" s="72"/>
      <c r="S139" s="59"/>
      <c r="T139" s="59"/>
      <c r="U139" s="59"/>
      <c r="V139" s="59"/>
      <c r="W139" s="59"/>
      <c r="X139" s="59"/>
      <c r="Y139" s="59"/>
      <c r="Z139" s="59"/>
    </row>
    <row r="140" spans="1:16383" s="59" customFormat="1" x14ac:dyDescent="0.25">
      <c r="A140" s="116"/>
      <c r="B140" s="337"/>
      <c r="C140" s="338"/>
      <c r="D140" s="339"/>
      <c r="E140" s="59" t="s">
        <v>163</v>
      </c>
      <c r="G140" s="201" t="s">
        <v>88</v>
      </c>
      <c r="J140" s="293">
        <f t="shared" ref="J140:R140" si="65" xml:space="preserve"> I143</f>
        <v>0</v>
      </c>
      <c r="K140" s="293">
        <f t="shared" si="65"/>
        <v>0</v>
      </c>
      <c r="L140" s="293">
        <f t="shared" si="65"/>
        <v>0</v>
      </c>
      <c r="M140" s="293">
        <f t="shared" si="65"/>
        <v>156.15683143012828</v>
      </c>
      <c r="N140" s="293">
        <f t="shared" si="65"/>
        <v>151.0359673111883</v>
      </c>
      <c r="O140" s="293">
        <f t="shared" si="65"/>
        <v>146.84315095956674</v>
      </c>
      <c r="P140" s="293">
        <f t="shared" si="65"/>
        <v>143.03241379283958</v>
      </c>
      <c r="Q140" s="293">
        <f t="shared" si="65"/>
        <v>139.38760461160501</v>
      </c>
      <c r="R140" s="293">
        <f t="shared" si="65"/>
        <v>135.83567391585024</v>
      </c>
    </row>
    <row r="141" spans="1:16383" s="59" customFormat="1" x14ac:dyDescent="0.25">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3.7880667073156609</v>
      </c>
      <c r="N141" s="293">
        <f t="shared" si="66"/>
        <v>4.4687991396924902</v>
      </c>
      <c r="O141" s="293">
        <f t="shared" si="66"/>
        <v>4.6261001183105925</v>
      </c>
      <c r="P141" s="293">
        <f t="shared" si="66"/>
        <v>4.5770372413709657</v>
      </c>
      <c r="Q141" s="293">
        <f t="shared" si="66"/>
        <v>4.4604033475713338</v>
      </c>
      <c r="R141" s="293">
        <f t="shared" si="66"/>
        <v>4.0750702174754805</v>
      </c>
    </row>
    <row r="142" spans="1:16383" s="59" customFormat="1" x14ac:dyDescent="0.25">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8.9089308262556273</v>
      </c>
      <c r="N142" s="293">
        <f t="shared" si="67"/>
        <v>8.6616154913140608</v>
      </c>
      <c r="O142" s="293">
        <f t="shared" si="67"/>
        <v>8.4368372850377682</v>
      </c>
      <c r="P142" s="293">
        <f t="shared" si="67"/>
        <v>8.2218464226055268</v>
      </c>
      <c r="Q142" s="293">
        <f t="shared" si="67"/>
        <v>8.0123340433261223</v>
      </c>
      <c r="R142" s="293">
        <f t="shared" si="67"/>
        <v>0</v>
      </c>
    </row>
    <row r="143" spans="1:16383" s="173" customFormat="1" x14ac:dyDescent="0.25">
      <c r="A143" s="333"/>
      <c r="B143" s="334"/>
      <c r="C143" s="335"/>
      <c r="D143" s="336"/>
      <c r="E143" s="173" t="s">
        <v>164</v>
      </c>
      <c r="G143" s="202" t="s">
        <v>88</v>
      </c>
      <c r="J143" s="294">
        <f t="shared" ref="J143:R143" si="68" xml:space="preserve"> IF( J138 = 1, $F137, J140 + J141 - J142)</f>
        <v>0</v>
      </c>
      <c r="K143" s="294">
        <f t="shared" si="68"/>
        <v>0</v>
      </c>
      <c r="L143" s="294">
        <f t="shared" si="68"/>
        <v>156.15683143012828</v>
      </c>
      <c r="M143" s="294">
        <f t="shared" si="68"/>
        <v>151.0359673111883</v>
      </c>
      <c r="N143" s="294">
        <f t="shared" si="68"/>
        <v>146.84315095956674</v>
      </c>
      <c r="O143" s="294">
        <f t="shared" si="68"/>
        <v>143.03241379283958</v>
      </c>
      <c r="P143" s="294">
        <f t="shared" si="68"/>
        <v>139.38760461160501</v>
      </c>
      <c r="Q143" s="294">
        <f t="shared" si="68"/>
        <v>135.83567391585024</v>
      </c>
      <c r="R143" s="294">
        <f t="shared" si="68"/>
        <v>139.91074413332572</v>
      </c>
    </row>
    <row r="145" spans="1:26" s="126" customFormat="1" x14ac:dyDescent="0.25">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156.15683143012828</v>
      </c>
      <c r="N145" s="226">
        <f t="shared" si="69"/>
        <v>151.0359673111883</v>
      </c>
      <c r="O145" s="226">
        <f t="shared" si="69"/>
        <v>146.84315095956674</v>
      </c>
      <c r="P145" s="226">
        <f t="shared" si="69"/>
        <v>143.03241379283958</v>
      </c>
      <c r="Q145" s="226">
        <f t="shared" si="69"/>
        <v>139.38760461160501</v>
      </c>
      <c r="R145" s="226">
        <f t="shared" si="69"/>
        <v>135.83567391585024</v>
      </c>
    </row>
    <row r="146" spans="1:26" s="125" customFormat="1" x14ac:dyDescent="0.25">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3.7880667073156609</v>
      </c>
      <c r="N146" s="225">
        <f t="shared" si="70"/>
        <v>4.4687991396924902</v>
      </c>
      <c r="O146" s="225">
        <f t="shared" si="70"/>
        <v>4.6261001183105925</v>
      </c>
      <c r="P146" s="225">
        <f t="shared" si="70"/>
        <v>4.5770372413709657</v>
      </c>
      <c r="Q146" s="225">
        <f t="shared" si="70"/>
        <v>4.4604033475713338</v>
      </c>
      <c r="R146" s="225">
        <f t="shared" si="70"/>
        <v>4.0750702174754805</v>
      </c>
      <c r="S146" s="126"/>
      <c r="T146" s="126"/>
      <c r="U146" s="126"/>
      <c r="V146" s="126"/>
      <c r="W146" s="126"/>
      <c r="X146" s="126"/>
      <c r="Y146" s="126"/>
      <c r="Z146" s="126"/>
    </row>
    <row r="147" spans="1:26" s="126" customFormat="1" x14ac:dyDescent="0.25">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156.15683143012828</v>
      </c>
      <c r="M147" s="226">
        <f t="shared" si="71"/>
        <v>151.0359673111883</v>
      </c>
      <c r="N147" s="226">
        <f t="shared" si="71"/>
        <v>146.84315095956674</v>
      </c>
      <c r="O147" s="226">
        <f t="shared" si="71"/>
        <v>143.03241379283958</v>
      </c>
      <c r="P147" s="226">
        <f t="shared" si="71"/>
        <v>139.38760461160501</v>
      </c>
      <c r="Q147" s="226">
        <f t="shared" si="71"/>
        <v>135.83567391585024</v>
      </c>
      <c r="R147" s="226">
        <f t="shared" si="71"/>
        <v>139.91074413332572</v>
      </c>
    </row>
    <row r="148" spans="1:26" s="60" customFormat="1" x14ac:dyDescent="0.25">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78.078415715064139</v>
      </c>
      <c r="M148" s="226">
        <f xml:space="preserve"> ( (M145+M146) + M147) / 2</f>
        <v>155.49043272431612</v>
      </c>
      <c r="N148" s="226">
        <f t="shared" ref="N148:R148" si="73" xml:space="preserve"> ( (N145+N146) + N147) / 2</f>
        <v>151.17395870522375</v>
      </c>
      <c r="O148" s="226">
        <f t="shared" si="73"/>
        <v>147.25083243535846</v>
      </c>
      <c r="P148" s="226">
        <f t="shared" si="73"/>
        <v>143.49852782290776</v>
      </c>
      <c r="Q148" s="226">
        <f t="shared" si="73"/>
        <v>139.8418409375133</v>
      </c>
      <c r="R148" s="226">
        <f t="shared" si="73"/>
        <v>139.91074413332572</v>
      </c>
    </row>
    <row r="150" spans="1:26" s="253" customFormat="1" x14ac:dyDescent="0.25">
      <c r="A150" s="249"/>
      <c r="B150" s="250"/>
      <c r="C150" s="251"/>
      <c r="D150" s="252"/>
      <c r="E150" s="253" t="str">
        <f xml:space="preserve"> InpR!E$101</f>
        <v>WACC on RCV - CPI(H) + RPI wedge bf and additions - WR</v>
      </c>
      <c r="F150" s="253">
        <f xml:space="preserve"> InpR!F$101</f>
        <v>0</v>
      </c>
      <c r="G150" s="271" t="str">
        <f xml:space="preserve"> InpR!G$101</f>
        <v>%</v>
      </c>
      <c r="H150" s="253" t="str">
        <f xml:space="preserve"> InpR!I$101</f>
        <v>PR19 Financial model, 'Water Resources' sheet row 980</v>
      </c>
      <c r="I150" s="253" t="e">
        <f xml:space="preserve"> InpR!#REF!</f>
        <v>#REF!</v>
      </c>
      <c r="J150" s="253">
        <f xml:space="preserve"> InpR!J$101</f>
        <v>0</v>
      </c>
      <c r="K150" s="253">
        <f xml:space="preserve"> InpR!K$101</f>
        <v>0</v>
      </c>
      <c r="L150" s="253">
        <f xml:space="preserve"> InpR!L$101</f>
        <v>0</v>
      </c>
      <c r="M150" s="253">
        <f xml:space="preserve"> InpR!M$101</f>
        <v>2.2181345335277269E-2</v>
      </c>
      <c r="N150" s="253">
        <f xml:space="preserve"> InpR!N$101</f>
        <v>2.2181345335277269E-2</v>
      </c>
      <c r="O150" s="253">
        <f xml:space="preserve"> InpR!O$101</f>
        <v>2.2181345335277269E-2</v>
      </c>
      <c r="P150" s="253">
        <f xml:space="preserve"> InpR!P$101</f>
        <v>2.2181345335277269E-2</v>
      </c>
      <c r="Q150" s="253">
        <f xml:space="preserve"> InpR!Q$101</f>
        <v>2.2181345335277269E-2</v>
      </c>
      <c r="R150" s="253">
        <f xml:space="preserve"> InpR!R$101</f>
        <v>0</v>
      </c>
    </row>
    <row r="151" spans="1:26" s="126" customFormat="1" x14ac:dyDescent="0.25">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5">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78.078415715064139</v>
      </c>
      <c r="M152" s="298">
        <f t="shared" si="74"/>
        <v>155.49043272431612</v>
      </c>
      <c r="N152" s="298">
        <f t="shared" si="74"/>
        <v>151.17395870522375</v>
      </c>
      <c r="O152" s="298">
        <f t="shared" si="74"/>
        <v>147.25083243535846</v>
      </c>
      <c r="P152" s="298">
        <f t="shared" si="74"/>
        <v>143.49852782290776</v>
      </c>
      <c r="Q152" s="298">
        <f t="shared" si="74"/>
        <v>139.8418409375133</v>
      </c>
      <c r="R152" s="298">
        <f t="shared" si="74"/>
        <v>139.91074413332572</v>
      </c>
    </row>
    <row r="153" spans="1:26" x14ac:dyDescent="0.25">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3.4489869845897534</v>
      </c>
      <c r="N153" s="298">
        <f t="shared" si="76"/>
        <v>3.3532417837415136</v>
      </c>
      <c r="O153" s="298">
        <f t="shared" si="76"/>
        <v>3.2662215651557331</v>
      </c>
      <c r="P153" s="298">
        <f t="shared" si="76"/>
        <v>3.1829904007438103</v>
      </c>
      <c r="Q153" s="298">
        <f t="shared" si="76"/>
        <v>3.1018801661558966</v>
      </c>
      <c r="R153" s="298">
        <f t="shared" si="76"/>
        <v>0</v>
      </c>
    </row>
    <row r="154" spans="1:26" x14ac:dyDescent="0.25">
      <c r="M154" s="228"/>
      <c r="N154" s="228"/>
      <c r="O154" s="228"/>
      <c r="P154" s="228"/>
      <c r="Q154" s="228"/>
    </row>
    <row r="155" spans="1:26" s="125" customFormat="1" x14ac:dyDescent="0.25">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8.9089308262556273</v>
      </c>
      <c r="N155" s="225">
        <f t="shared" si="77"/>
        <v>8.6616154913140608</v>
      </c>
      <c r="O155" s="225">
        <f t="shared" si="77"/>
        <v>8.4368372850377682</v>
      </c>
      <c r="P155" s="225">
        <f t="shared" si="77"/>
        <v>8.2218464226055268</v>
      </c>
      <c r="Q155" s="225">
        <f t="shared" si="77"/>
        <v>8.0123340433261223</v>
      </c>
      <c r="R155" s="225">
        <f t="shared" si="77"/>
        <v>0</v>
      </c>
      <c r="S155" s="126"/>
      <c r="T155" s="126"/>
      <c r="U155" s="126"/>
      <c r="V155" s="126"/>
      <c r="W155" s="126"/>
      <c r="X155" s="126"/>
      <c r="Y155" s="126"/>
      <c r="Z155" s="126"/>
    </row>
    <row r="156" spans="1:26" x14ac:dyDescent="0.25">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3.4489869845897534</v>
      </c>
      <c r="N156" s="225">
        <f t="shared" si="78"/>
        <v>3.3532417837415136</v>
      </c>
      <c r="O156" s="225">
        <f t="shared" si="78"/>
        <v>3.2662215651557331</v>
      </c>
      <c r="P156" s="225">
        <f t="shared" si="78"/>
        <v>3.1829904007438103</v>
      </c>
      <c r="Q156" s="225">
        <f t="shared" si="78"/>
        <v>3.1018801661558966</v>
      </c>
      <c r="R156" s="225">
        <f t="shared" si="78"/>
        <v>0</v>
      </c>
    </row>
    <row r="157" spans="1:26" x14ac:dyDescent="0.25">
      <c r="A157" s="89"/>
      <c r="B157" s="95"/>
      <c r="C157" s="332"/>
      <c r="D157" s="91"/>
      <c r="E157" s="56" t="s">
        <v>321</v>
      </c>
      <c r="F157" s="295"/>
      <c r="G157" s="225" t="str">
        <f t="shared" ref="G157" si="79">G$155</f>
        <v>£m</v>
      </c>
      <c r="H157" s="295">
        <f>SUM(J157:R157)</f>
        <v>58.594884968925811</v>
      </c>
      <c r="I157" s="295"/>
      <c r="J157" s="295">
        <f t="shared" ref="J157:R157" si="80">SUM(J155:J156)</f>
        <v>0</v>
      </c>
      <c r="K157" s="295">
        <f t="shared" si="80"/>
        <v>0</v>
      </c>
      <c r="L157" s="295">
        <f>SUM(L155:L156)</f>
        <v>0</v>
      </c>
      <c r="M157" s="295">
        <f t="shared" si="80"/>
        <v>12.357917810845381</v>
      </c>
      <c r="N157" s="295">
        <f t="shared" si="80"/>
        <v>12.014857275055574</v>
      </c>
      <c r="O157" s="295">
        <f t="shared" si="80"/>
        <v>11.703058850193502</v>
      </c>
      <c r="P157" s="295">
        <f t="shared" si="80"/>
        <v>11.404836823349337</v>
      </c>
      <c r="Q157" s="295">
        <f t="shared" si="80"/>
        <v>11.114214209482018</v>
      </c>
      <c r="R157" s="295">
        <f t="shared" si="80"/>
        <v>0</v>
      </c>
    </row>
    <row r="159" spans="1:26" x14ac:dyDescent="0.25">
      <c r="E159" s="60" t="str">
        <f t="shared" ref="E159:R159" si="81" xml:space="preserve"> E$157</f>
        <v>Total True up Nominal revenue to company</v>
      </c>
      <c r="F159" s="225">
        <f t="shared" si="81"/>
        <v>0</v>
      </c>
      <c r="G159" s="225" t="str">
        <f t="shared" si="81"/>
        <v>£m</v>
      </c>
      <c r="H159" s="225">
        <f t="shared" si="81"/>
        <v>58.594884968925811</v>
      </c>
      <c r="I159" s="225">
        <f t="shared" si="81"/>
        <v>0</v>
      </c>
      <c r="J159" s="225">
        <f t="shared" si="81"/>
        <v>0</v>
      </c>
      <c r="K159" s="225">
        <f t="shared" si="81"/>
        <v>0</v>
      </c>
      <c r="L159" s="225">
        <f t="shared" si="81"/>
        <v>0</v>
      </c>
      <c r="M159" s="225">
        <f t="shared" si="81"/>
        <v>12.357917810845381</v>
      </c>
      <c r="N159" s="225">
        <f t="shared" si="81"/>
        <v>12.014857275055574</v>
      </c>
      <c r="O159" s="225">
        <f t="shared" si="81"/>
        <v>11.703058850193502</v>
      </c>
      <c r="P159" s="225">
        <f t="shared" si="81"/>
        <v>11.404836823349337</v>
      </c>
      <c r="Q159" s="225">
        <f t="shared" si="81"/>
        <v>11.114214209482018</v>
      </c>
      <c r="R159" s="225">
        <f t="shared" si="81"/>
        <v>0</v>
      </c>
    </row>
    <row r="160" spans="1:26" x14ac:dyDescent="0.25">
      <c r="E160" s="60" t="str">
        <f t="shared" ref="E160:R160" si="82" xml:space="preserve"> E$108</f>
        <v>Total nominal revenue company should have received</v>
      </c>
      <c r="F160" s="225">
        <f t="shared" si="82"/>
        <v>0</v>
      </c>
      <c r="G160" s="225" t="str">
        <f t="shared" si="82"/>
        <v>£m</v>
      </c>
      <c r="H160" s="225">
        <f t="shared" si="82"/>
        <v>59.870821228847355</v>
      </c>
      <c r="I160" s="225">
        <f t="shared" si="82"/>
        <v>0</v>
      </c>
      <c r="J160" s="225">
        <f t="shared" si="82"/>
        <v>0</v>
      </c>
      <c r="K160" s="225">
        <f t="shared" si="82"/>
        <v>0</v>
      </c>
      <c r="L160" s="225">
        <f t="shared" si="82"/>
        <v>0</v>
      </c>
      <c r="M160" s="225">
        <f t="shared" si="82"/>
        <v>12.312688704948846</v>
      </c>
      <c r="N160" s="225">
        <f t="shared" si="82"/>
        <v>12.104350775287623</v>
      </c>
      <c r="O160" s="225">
        <f t="shared" si="82"/>
        <v>12.135942276515228</v>
      </c>
      <c r="P160" s="225">
        <f t="shared" si="82"/>
        <v>11.815201803949424</v>
      </c>
      <c r="Q160" s="225">
        <f t="shared" si="82"/>
        <v>11.502637668146228</v>
      </c>
      <c r="R160" s="225">
        <f t="shared" si="82"/>
        <v>0</v>
      </c>
    </row>
    <row r="161" spans="1:16383" s="226" customFormat="1" x14ac:dyDescent="0.25">
      <c r="A161" s="306"/>
      <c r="B161" s="222"/>
      <c r="C161" s="223"/>
      <c r="D161" s="307"/>
      <c r="E161" s="60" t="s">
        <v>268</v>
      </c>
      <c r="G161" s="226" t="str">
        <f t="shared" ref="G161" si="83" xml:space="preserve"> G$153</f>
        <v>£m</v>
      </c>
      <c r="H161" s="226">
        <f xml:space="preserve"> SUM(J161:R161)</f>
        <v>1.2759362599215383</v>
      </c>
      <c r="J161" s="226">
        <f t="shared" ref="J161:K161" si="84">J160-J159</f>
        <v>0</v>
      </c>
      <c r="K161" s="226">
        <f t="shared" si="84"/>
        <v>0</v>
      </c>
      <c r="L161" s="226">
        <f>L160-L159</f>
        <v>0</v>
      </c>
      <c r="M161" s="226">
        <f>M160-M159</f>
        <v>-4.522910589653506E-2</v>
      </c>
      <c r="N161" s="226">
        <f t="shared" ref="N161:R161" si="85">N160-N159</f>
        <v>8.9493500232048717E-2</v>
      </c>
      <c r="O161" s="226">
        <f t="shared" si="85"/>
        <v>0.43288342632172672</v>
      </c>
      <c r="P161" s="226">
        <f t="shared" si="85"/>
        <v>0.41036498060008775</v>
      </c>
      <c r="Q161" s="226">
        <f t="shared" si="85"/>
        <v>0.38842345866421013</v>
      </c>
      <c r="R161" s="226">
        <f t="shared" si="85"/>
        <v>0</v>
      </c>
    </row>
    <row r="163" spans="1:16383" s="125" customFormat="1" x14ac:dyDescent="0.25">
      <c r="A163" s="210"/>
      <c r="B163" s="204"/>
      <c r="C163" s="205"/>
      <c r="D163" s="211"/>
      <c r="E163" s="60" t="str">
        <f t="shared" ref="E163:R163" si="86" xml:space="preserve"> E$161</f>
        <v>Value of True up nominal</v>
      </c>
      <c r="F163" s="300">
        <f t="shared" si="86"/>
        <v>0</v>
      </c>
      <c r="G163" s="300" t="str">
        <f t="shared" si="86"/>
        <v>£m</v>
      </c>
      <c r="H163" s="300">
        <f t="shared" si="86"/>
        <v>1.2759362599215383</v>
      </c>
      <c r="I163" s="300">
        <f t="shared" si="86"/>
        <v>0</v>
      </c>
      <c r="J163" s="300">
        <f t="shared" si="86"/>
        <v>0</v>
      </c>
      <c r="K163" s="300">
        <f t="shared" si="86"/>
        <v>0</v>
      </c>
      <c r="L163" s="300">
        <f t="shared" si="86"/>
        <v>0</v>
      </c>
      <c r="M163" s="300">
        <f t="shared" si="86"/>
        <v>-4.522910589653506E-2</v>
      </c>
      <c r="N163" s="300">
        <f t="shared" si="86"/>
        <v>8.9493500232048717E-2</v>
      </c>
      <c r="O163" s="300">
        <f t="shared" si="86"/>
        <v>0.43288342632172672</v>
      </c>
      <c r="P163" s="300">
        <f t="shared" si="86"/>
        <v>0.41036498060008775</v>
      </c>
      <c r="Q163" s="300">
        <f t="shared" si="86"/>
        <v>0.38842345866421013</v>
      </c>
      <c r="R163" s="300">
        <f t="shared" si="86"/>
        <v>0</v>
      </c>
      <c r="S163" s="126"/>
      <c r="T163" s="126"/>
      <c r="U163" s="126"/>
      <c r="V163" s="126"/>
      <c r="W163" s="126"/>
      <c r="X163" s="126"/>
      <c r="Y163" s="126"/>
      <c r="Z163" s="126"/>
    </row>
    <row r="164" spans="1:16383" s="125" customFormat="1" x14ac:dyDescent="0.25">
      <c r="A164" s="210"/>
      <c r="B164" s="204"/>
      <c r="C164" s="205"/>
      <c r="D164" s="211"/>
      <c r="E164" s="60" t="str">
        <f t="shared" ref="E164:R164" si="87" xml:space="preserve"> E$116</f>
        <v>Difference in nominal revenue</v>
      </c>
      <c r="F164" s="300">
        <f t="shared" si="87"/>
        <v>0</v>
      </c>
      <c r="G164" s="300" t="str">
        <f t="shared" si="87"/>
        <v>£m</v>
      </c>
      <c r="H164" s="300">
        <f t="shared" si="87"/>
        <v>1.2759362599215383</v>
      </c>
      <c r="I164" s="300">
        <f t="shared" si="87"/>
        <v>0</v>
      </c>
      <c r="J164" s="300">
        <f t="shared" si="87"/>
        <v>0</v>
      </c>
      <c r="K164" s="300">
        <f t="shared" si="87"/>
        <v>0</v>
      </c>
      <c r="L164" s="300">
        <f t="shared" si="87"/>
        <v>0</v>
      </c>
      <c r="M164" s="300">
        <f t="shared" si="87"/>
        <v>-4.522910589653506E-2</v>
      </c>
      <c r="N164" s="300">
        <f t="shared" si="87"/>
        <v>8.9493500232048717E-2</v>
      </c>
      <c r="O164" s="300">
        <f t="shared" si="87"/>
        <v>0.43288342632172672</v>
      </c>
      <c r="P164" s="300">
        <f t="shared" si="87"/>
        <v>0.41036498060008775</v>
      </c>
      <c r="Q164" s="300">
        <f t="shared" si="87"/>
        <v>0.38842345866421013</v>
      </c>
      <c r="R164" s="300">
        <f t="shared" si="87"/>
        <v>0</v>
      </c>
      <c r="S164" s="126"/>
      <c r="T164" s="126"/>
      <c r="U164" s="126"/>
      <c r="V164" s="126"/>
      <c r="W164" s="126"/>
      <c r="X164" s="126"/>
      <c r="Y164" s="126"/>
      <c r="Z164" s="126"/>
    </row>
    <row r="165" spans="1:16383" s="259" customFormat="1" x14ac:dyDescent="0.25">
      <c r="A165" s="272"/>
      <c r="B165" s="256"/>
      <c r="C165" s="257"/>
      <c r="D165" s="258"/>
      <c r="E165" s="60" t="s">
        <v>165</v>
      </c>
      <c r="F165" s="273">
        <f>SUM(J165:R165)</f>
        <v>0</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5">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25">
      <c r="A167" s="69" t="s">
        <v>278</v>
      </c>
      <c r="B167" s="69"/>
    </row>
    <row r="169" spans="1:16383" x14ac:dyDescent="0.25">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78.078415715064139</v>
      </c>
      <c r="M169" s="226">
        <f t="shared" si="90"/>
        <v>155.49043272431612</v>
      </c>
      <c r="N169" s="225">
        <f t="shared" si="90"/>
        <v>151.17395870522375</v>
      </c>
      <c r="O169" s="225">
        <f t="shared" si="90"/>
        <v>147.25083243535846</v>
      </c>
      <c r="P169" s="225">
        <f t="shared" si="90"/>
        <v>143.49852782290776</v>
      </c>
      <c r="Q169" s="225">
        <f t="shared" si="90"/>
        <v>139.8418409375133</v>
      </c>
      <c r="R169" s="225">
        <f t="shared" si="90"/>
        <v>139.91074413332572</v>
      </c>
    </row>
    <row r="170" spans="1:16383" x14ac:dyDescent="0.25">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78.078415715064139</v>
      </c>
      <c r="M170" s="226">
        <f t="shared" si="91"/>
        <v>154.92134872851432</v>
      </c>
      <c r="N170" s="225">
        <f t="shared" si="91"/>
        <v>152.29998845312213</v>
      </c>
      <c r="O170" s="225">
        <f t="shared" si="91"/>
        <v>152.69748067401878</v>
      </c>
      <c r="P170" s="225">
        <f t="shared" si="91"/>
        <v>148.66184330898545</v>
      </c>
      <c r="Q170" s="225">
        <f t="shared" si="91"/>
        <v>144.72908267130839</v>
      </c>
      <c r="R170" s="225">
        <f t="shared" si="91"/>
        <v>144.80039392018912</v>
      </c>
    </row>
    <row r="171" spans="1:16383" s="236" customFormat="1" x14ac:dyDescent="0.25">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5">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74.959866379537758</v>
      </c>
      <c r="M172" s="225">
        <f t="shared" si="92"/>
        <v>146.37676667214379</v>
      </c>
      <c r="N172" s="225">
        <f t="shared" si="92"/>
        <v>139.51709230899596</v>
      </c>
      <c r="O172" s="225">
        <f t="shared" si="92"/>
        <v>133.1337816187152</v>
      </c>
      <c r="P172" s="225">
        <f t="shared" si="92"/>
        <v>127.07268691674285</v>
      </c>
      <c r="Q172" s="225">
        <f t="shared" si="92"/>
        <v>121.28753171366844</v>
      </c>
      <c r="R172" s="225">
        <f t="shared" si="92"/>
        <v>118.96793410515576</v>
      </c>
      <c r="S172" s="126"/>
      <c r="T172" s="126"/>
      <c r="U172" s="126"/>
      <c r="V172" s="126"/>
      <c r="W172" s="126"/>
      <c r="X172" s="126"/>
      <c r="Y172" s="126"/>
      <c r="Z172" s="126"/>
    </row>
    <row r="173" spans="1:16383" s="125" customFormat="1" x14ac:dyDescent="0.25">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74.959866379537758</v>
      </c>
      <c r="M173" s="225">
        <f t="shared" si="92"/>
        <v>145.8410380500618</v>
      </c>
      <c r="N173" s="225">
        <f t="shared" si="92"/>
        <v>140.55629507662704</v>
      </c>
      <c r="O173" s="225">
        <f t="shared" si="92"/>
        <v>138.05825549208421</v>
      </c>
      <c r="P173" s="225">
        <f t="shared" si="92"/>
        <v>131.64497335179561</v>
      </c>
      <c r="Q173" s="225">
        <f t="shared" si="92"/>
        <v>125.52633093717769</v>
      </c>
      <c r="R173" s="225">
        <f t="shared" si="92"/>
        <v>123.12566721739282</v>
      </c>
      <c r="S173" s="126"/>
      <c r="T173" s="126"/>
      <c r="U173" s="126"/>
      <c r="V173" s="126"/>
      <c r="W173" s="126"/>
      <c r="X173" s="126"/>
      <c r="Y173" s="126"/>
      <c r="Z173" s="126"/>
    </row>
    <row r="174" spans="1:16383" s="125" customFormat="1" x14ac:dyDescent="0.25">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-0.53572862208199012</v>
      </c>
      <c r="N174" s="226">
        <f t="shared" si="93"/>
        <v>1.0392027676310818</v>
      </c>
      <c r="O174" s="226">
        <f t="shared" si="93"/>
        <v>4.9244738733690099</v>
      </c>
      <c r="P174" s="226">
        <f t="shared" si="93"/>
        <v>4.5722864350527601</v>
      </c>
      <c r="Q174" s="226">
        <f t="shared" si="93"/>
        <v>4.2387992235092469</v>
      </c>
      <c r="R174" s="226">
        <f t="shared" si="93"/>
        <v>4.1577331122370538</v>
      </c>
      <c r="S174" s="126"/>
      <c r="T174" s="126"/>
      <c r="U174" s="126"/>
      <c r="V174" s="126"/>
      <c r="W174" s="126"/>
      <c r="X174" s="126"/>
      <c r="Y174" s="126"/>
      <c r="Z174" s="126"/>
    </row>
    <row r="175" spans="1:16383" s="125" customFormat="1" x14ac:dyDescent="0.25">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5">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-0.53572862208199012</v>
      </c>
      <c r="N176" s="226">
        <f t="shared" si="94"/>
        <v>1.0392027676310818</v>
      </c>
      <c r="O176" s="226">
        <f t="shared" si="94"/>
        <v>4.9244738733690099</v>
      </c>
      <c r="P176" s="226">
        <f t="shared" si="94"/>
        <v>4.5722864350527601</v>
      </c>
      <c r="Q176" s="226">
        <f t="shared" si="94"/>
        <v>4.2387992235092469</v>
      </c>
      <c r="R176" s="226">
        <f t="shared" si="94"/>
        <v>4.1577331122370538</v>
      </c>
      <c r="S176" s="126"/>
      <c r="T176" s="126"/>
      <c r="U176" s="126"/>
      <c r="V176" s="126"/>
      <c r="W176" s="126"/>
      <c r="X176" s="126"/>
      <c r="Y176" s="126"/>
      <c r="Z176" s="126"/>
    </row>
    <row r="177" spans="1:26" s="126" customFormat="1" x14ac:dyDescent="0.25">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5">
      <c r="A178" s="326"/>
      <c r="B178" s="327"/>
      <c r="C178" s="328"/>
      <c r="D178" s="329"/>
      <c r="E178" s="44" t="s">
        <v>353</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4.2387992235092469</v>
      </c>
      <c r="R178" s="325">
        <f t="shared" si="95"/>
        <v>0</v>
      </c>
      <c r="S178" s="129"/>
      <c r="T178" s="129"/>
      <c r="U178" s="129"/>
      <c r="V178" s="129"/>
      <c r="W178" s="129"/>
      <c r="X178" s="129"/>
      <c r="Y178" s="129"/>
      <c r="Z178" s="129"/>
    </row>
    <row r="179" spans="1:26" x14ac:dyDescent="0.25">
      <c r="H179" s="225"/>
      <c r="J179" s="225"/>
      <c r="K179" s="225"/>
      <c r="L179" s="225"/>
      <c r="M179" s="226"/>
      <c r="N179" s="225"/>
      <c r="O179" s="225"/>
      <c r="P179" s="225"/>
      <c r="Q179" s="225"/>
      <c r="R179" s="225"/>
    </row>
    <row r="180" spans="1:26" x14ac:dyDescent="0.25">
      <c r="A180" s="69" t="s">
        <v>279</v>
      </c>
      <c r="B180" s="69"/>
    </row>
    <row r="182" spans="1:26" s="125" customFormat="1" x14ac:dyDescent="0.25">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8.9089308262556273</v>
      </c>
      <c r="N182" s="225">
        <f t="shared" si="96"/>
        <v>8.6616154913140608</v>
      </c>
      <c r="O182" s="225">
        <f t="shared" si="96"/>
        <v>8.4368372850377682</v>
      </c>
      <c r="P182" s="225">
        <f t="shared" si="96"/>
        <v>8.2218464226055268</v>
      </c>
      <c r="Q182" s="225">
        <f t="shared" si="96"/>
        <v>8.0123340433261223</v>
      </c>
      <c r="R182" s="225">
        <f t="shared" si="96"/>
        <v>0</v>
      </c>
      <c r="S182" s="126"/>
      <c r="T182" s="126"/>
      <c r="U182" s="126"/>
      <c r="V182" s="126"/>
      <c r="W182" s="126"/>
      <c r="X182" s="126"/>
      <c r="Y182" s="126"/>
      <c r="Z182" s="126"/>
    </row>
    <row r="183" spans="1:26" s="125" customFormat="1" x14ac:dyDescent="0.25">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3.4489869845897534</v>
      </c>
      <c r="N183" s="225">
        <f t="shared" si="97"/>
        <v>3.3532417837415136</v>
      </c>
      <c r="O183" s="225">
        <f t="shared" si="97"/>
        <v>3.2662215651557331</v>
      </c>
      <c r="P183" s="225">
        <f t="shared" si="97"/>
        <v>3.1829904007438103</v>
      </c>
      <c r="Q183" s="225">
        <f t="shared" si="97"/>
        <v>3.1018801661558966</v>
      </c>
      <c r="R183" s="225">
        <f t="shared" si="97"/>
        <v>0</v>
      </c>
      <c r="S183" s="126"/>
      <c r="T183" s="126"/>
      <c r="U183" s="126"/>
      <c r="V183" s="126"/>
      <c r="W183" s="126"/>
      <c r="X183" s="126"/>
      <c r="Y183" s="126"/>
      <c r="Z183" s="126"/>
    </row>
    <row r="184" spans="1:26" s="125" customFormat="1" x14ac:dyDescent="0.25">
      <c r="A184" s="210"/>
      <c r="B184" s="204"/>
      <c r="C184" s="205"/>
      <c r="D184" s="211"/>
      <c r="E184" s="60" t="str">
        <f>E$157</f>
        <v>Total True up Nominal revenue to company</v>
      </c>
      <c r="F184" s="225">
        <f t="shared" ref="F184:R184" si="98">F$157</f>
        <v>0</v>
      </c>
      <c r="G184" s="225" t="str">
        <f t="shared" si="98"/>
        <v>£m</v>
      </c>
      <c r="H184" s="225">
        <f t="shared" si="98"/>
        <v>58.594884968925811</v>
      </c>
      <c r="I184" s="225">
        <f t="shared" si="98"/>
        <v>0</v>
      </c>
      <c r="J184" s="225">
        <f t="shared" si="98"/>
        <v>0</v>
      </c>
      <c r="K184" s="225">
        <f t="shared" si="98"/>
        <v>0</v>
      </c>
      <c r="L184" s="225">
        <f t="shared" si="98"/>
        <v>0</v>
      </c>
      <c r="M184" s="225">
        <f t="shared" si="98"/>
        <v>12.357917810845381</v>
      </c>
      <c r="N184" s="225">
        <f t="shared" si="98"/>
        <v>12.014857275055574</v>
      </c>
      <c r="O184" s="225">
        <f t="shared" si="98"/>
        <v>11.703058850193502</v>
      </c>
      <c r="P184" s="225">
        <f t="shared" si="98"/>
        <v>11.404836823349337</v>
      </c>
      <c r="Q184" s="225">
        <f t="shared" si="98"/>
        <v>11.114214209482018</v>
      </c>
      <c r="R184" s="225">
        <f t="shared" si="98"/>
        <v>0</v>
      </c>
      <c r="S184" s="126"/>
      <c r="T184" s="126"/>
      <c r="U184" s="126"/>
      <c r="V184" s="126"/>
      <c r="W184" s="126"/>
      <c r="X184" s="126"/>
      <c r="Y184" s="126"/>
      <c r="Z184" s="126"/>
    </row>
    <row r="185" spans="1:26" s="125" customFormat="1" x14ac:dyDescent="0.25">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8.8763247689947509</v>
      </c>
      <c r="N185" s="225">
        <f t="shared" si="99"/>
        <v>8.7261321368501807</v>
      </c>
      <c r="O185" s="225">
        <f t="shared" si="99"/>
        <v>8.7489067258579905</v>
      </c>
      <c r="P185" s="225">
        <f t="shared" si="99"/>
        <v>8.5176821193339389</v>
      </c>
      <c r="Q185" s="225">
        <f t="shared" si="99"/>
        <v>8.2923519053560426</v>
      </c>
      <c r="R185" s="225">
        <f t="shared" si="99"/>
        <v>0</v>
      </c>
      <c r="S185" s="126"/>
      <c r="T185" s="126"/>
      <c r="U185" s="126"/>
      <c r="V185" s="126"/>
      <c r="W185" s="126"/>
      <c r="X185" s="126"/>
      <c r="Y185" s="126"/>
      <c r="Z185" s="126"/>
    </row>
    <row r="186" spans="1:26" s="125" customFormat="1" x14ac:dyDescent="0.25">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3.4363639359540943</v>
      </c>
      <c r="N186" s="225">
        <f t="shared" si="100"/>
        <v>3.3782186384374424</v>
      </c>
      <c r="O186" s="225">
        <f t="shared" si="100"/>
        <v>3.3870355506572376</v>
      </c>
      <c r="P186" s="225">
        <f t="shared" si="100"/>
        <v>3.2975196846154846</v>
      </c>
      <c r="Q186" s="225">
        <f t="shared" si="100"/>
        <v>3.2102857627901846</v>
      </c>
      <c r="R186" s="225">
        <f t="shared" si="100"/>
        <v>0</v>
      </c>
      <c r="S186" s="126"/>
      <c r="T186" s="126"/>
      <c r="U186" s="126"/>
      <c r="V186" s="126"/>
      <c r="W186" s="126"/>
      <c r="X186" s="126"/>
      <c r="Y186" s="126"/>
      <c r="Z186" s="126"/>
    </row>
    <row r="187" spans="1:26" s="125" customFormat="1" x14ac:dyDescent="0.25">
      <c r="A187" s="210"/>
      <c r="B187" s="204"/>
      <c r="C187" s="205"/>
      <c r="D187" s="211"/>
      <c r="E187" s="60" t="str">
        <f>E$108</f>
        <v>Total nominal revenue company should have received</v>
      </c>
      <c r="F187" s="225">
        <f t="shared" ref="F187:R187" si="101">F$108</f>
        <v>0</v>
      </c>
      <c r="G187" s="225" t="str">
        <f t="shared" si="101"/>
        <v>£m</v>
      </c>
      <c r="H187" s="225">
        <f t="shared" si="101"/>
        <v>59.870821228847355</v>
      </c>
      <c r="I187" s="225">
        <f t="shared" si="101"/>
        <v>0</v>
      </c>
      <c r="J187" s="225">
        <f t="shared" si="101"/>
        <v>0</v>
      </c>
      <c r="K187" s="225">
        <f t="shared" si="101"/>
        <v>0</v>
      </c>
      <c r="L187" s="225">
        <f t="shared" si="101"/>
        <v>0</v>
      </c>
      <c r="M187" s="225">
        <f t="shared" si="101"/>
        <v>12.312688704948846</v>
      </c>
      <c r="N187" s="225">
        <f t="shared" si="101"/>
        <v>12.104350775287623</v>
      </c>
      <c r="O187" s="225">
        <f t="shared" si="101"/>
        <v>12.135942276515228</v>
      </c>
      <c r="P187" s="225">
        <f t="shared" si="101"/>
        <v>11.815201803949424</v>
      </c>
      <c r="Q187" s="225">
        <f t="shared" si="101"/>
        <v>11.502637668146228</v>
      </c>
      <c r="R187" s="225">
        <f t="shared" si="101"/>
        <v>0</v>
      </c>
      <c r="S187" s="126"/>
      <c r="T187" s="126"/>
      <c r="U187" s="126"/>
      <c r="V187" s="126"/>
      <c r="W187" s="126"/>
      <c r="X187" s="126"/>
      <c r="Y187" s="126"/>
      <c r="Z187" s="126"/>
    </row>
    <row r="188" spans="1:26" s="253" customFormat="1" x14ac:dyDescent="0.25">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5">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38.23844443668758</v>
      </c>
      <c r="I189" s="225"/>
      <c r="J189" s="225">
        <f t="shared" ref="J189:R194" si="105" xml:space="preserve"> IF(J$188 = 0, 0, J182 / J$188)</f>
        <v>0</v>
      </c>
      <c r="K189" s="225">
        <f t="shared" si="105"/>
        <v>0</v>
      </c>
      <c r="L189" s="225">
        <f t="shared" si="105"/>
        <v>0</v>
      </c>
      <c r="M189" s="226">
        <f t="shared" si="105"/>
        <v>8.3867570885546563</v>
      </c>
      <c r="N189" s="225">
        <f t="shared" si="105"/>
        <v>7.9937273482601201</v>
      </c>
      <c r="O189" s="225">
        <f t="shared" si="105"/>
        <v>7.6279911908269673</v>
      </c>
      <c r="P189" s="225">
        <f t="shared" si="105"/>
        <v>7.2807166191046413</v>
      </c>
      <c r="Q189" s="225">
        <f t="shared" si="105"/>
        <v>6.9492521899411939</v>
      </c>
      <c r="R189" s="225">
        <f t="shared" si="105"/>
        <v>0</v>
      </c>
      <c r="S189" s="126"/>
      <c r="T189" s="126"/>
      <c r="U189" s="126"/>
      <c r="V189" s="126"/>
      <c r="W189" s="126"/>
      <c r="X189" s="126"/>
      <c r="Y189" s="126"/>
      <c r="Z189" s="126"/>
    </row>
    <row r="190" spans="1:26" s="125" customFormat="1" x14ac:dyDescent="0.25">
      <c r="A190" s="210"/>
      <c r="B190" s="204"/>
      <c r="C190" s="205"/>
      <c r="D190" s="211"/>
      <c r="E190" s="60" t="str">
        <f t="shared" si="102"/>
        <v>True up Nominal return- real</v>
      </c>
      <c r="F190" s="225"/>
      <c r="G190" s="225" t="str">
        <f t="shared" si="103"/>
        <v>£m</v>
      </c>
      <c r="H190" s="295">
        <f t="shared" si="104"/>
        <v>14.803560578157951</v>
      </c>
      <c r="I190" s="225"/>
      <c r="J190" s="225">
        <f t="shared" si="105"/>
        <v>0</v>
      </c>
      <c r="K190" s="225">
        <f t="shared" si="105"/>
        <v>0</v>
      </c>
      <c r="L190" s="225">
        <f t="shared" si="105"/>
        <v>0</v>
      </c>
      <c r="M190" s="226">
        <f t="shared" si="105"/>
        <v>3.2468336106161257</v>
      </c>
      <c r="N190" s="225">
        <f xml:space="preserve"> IF(N$188 = 0, 0, N183 / N$188)</f>
        <v>3.094676804679596</v>
      </c>
      <c r="O190" s="225">
        <f t="shared" si="105"/>
        <v>2.9530863858761109</v>
      </c>
      <c r="P190" s="225">
        <f t="shared" si="105"/>
        <v>2.8186431511818428</v>
      </c>
      <c r="Q190" s="225">
        <f t="shared" si="105"/>
        <v>2.6903206258042736</v>
      </c>
      <c r="R190" s="225">
        <f t="shared" si="105"/>
        <v>0</v>
      </c>
      <c r="S190" s="126"/>
      <c r="T190" s="126"/>
      <c r="U190" s="126"/>
      <c r="V190" s="126"/>
      <c r="W190" s="126"/>
      <c r="X190" s="126"/>
      <c r="Y190" s="126"/>
      <c r="Z190" s="126"/>
    </row>
    <row r="191" spans="1:26" s="125" customFormat="1" x14ac:dyDescent="0.25">
      <c r="A191" s="210"/>
      <c r="B191" s="204"/>
      <c r="C191" s="205"/>
      <c r="D191" s="211"/>
      <c r="E191" s="60" t="str">
        <f t="shared" si="102"/>
        <v>Total True up Nominal revenue to company- real</v>
      </c>
      <c r="F191" s="225"/>
      <c r="G191" s="225" t="str">
        <f t="shared" si="103"/>
        <v>£m</v>
      </c>
      <c r="H191" s="295">
        <f t="shared" si="104"/>
        <v>53.042005014845529</v>
      </c>
      <c r="I191" s="225"/>
      <c r="J191" s="225">
        <f t="shared" si="105"/>
        <v>0</v>
      </c>
      <c r="K191" s="225">
        <f t="shared" si="105"/>
        <v>0</v>
      </c>
      <c r="L191" s="225">
        <f t="shared" si="105"/>
        <v>0</v>
      </c>
      <c r="M191" s="226">
        <f t="shared" si="105"/>
        <v>11.633590699170782</v>
      </c>
      <c r="N191" s="225">
        <f t="shared" si="105"/>
        <v>11.088404152939717</v>
      </c>
      <c r="O191" s="225">
        <f t="shared" si="105"/>
        <v>10.581077576703079</v>
      </c>
      <c r="P191" s="225">
        <f t="shared" si="105"/>
        <v>10.099359770286483</v>
      </c>
      <c r="Q191" s="225">
        <f t="shared" si="105"/>
        <v>9.639572815745467</v>
      </c>
      <c r="R191" s="225">
        <f t="shared" si="105"/>
        <v>0</v>
      </c>
      <c r="S191" s="126"/>
      <c r="T191" s="126"/>
      <c r="U191" s="126"/>
      <c r="V191" s="126"/>
      <c r="W191" s="126"/>
      <c r="X191" s="126"/>
      <c r="Y191" s="126"/>
      <c r="Z191" s="126"/>
    </row>
    <row r="192" spans="1:26" s="125" customFormat="1" x14ac:dyDescent="0.25">
      <c r="A192" s="210"/>
      <c r="B192" s="204"/>
      <c r="C192" s="205"/>
      <c r="D192" s="211"/>
      <c r="E192" s="60" t="str">
        <f t="shared" si="102"/>
        <v>RCV run-off company should have received- real</v>
      </c>
      <c r="F192" s="225"/>
      <c r="G192" s="225" t="str">
        <f t="shared" si="103"/>
        <v>£m</v>
      </c>
      <c r="H192" s="295">
        <f t="shared" si="104"/>
        <v>39.054279622446607</v>
      </c>
      <c r="I192" s="225"/>
      <c r="J192" s="225">
        <f t="shared" si="105"/>
        <v>0</v>
      </c>
      <c r="K192" s="225">
        <f t="shared" si="105"/>
        <v>0</v>
      </c>
      <c r="L192" s="225">
        <f t="shared" si="105"/>
        <v>0</v>
      </c>
      <c r="M192" s="226">
        <f t="shared" si="105"/>
        <v>8.3560621502735604</v>
      </c>
      <c r="N192" s="225">
        <f t="shared" si="105"/>
        <v>8.0532691825007721</v>
      </c>
      <c r="O192" s="225">
        <f t="shared" si="105"/>
        <v>7.9101422937911741</v>
      </c>
      <c r="P192" s="225">
        <f t="shared" si="105"/>
        <v>7.5426889016047047</v>
      </c>
      <c r="Q192" s="225">
        <f t="shared" si="105"/>
        <v>7.1921170942763952</v>
      </c>
      <c r="R192" s="225">
        <f t="shared" si="105"/>
        <v>0</v>
      </c>
      <c r="S192" s="126"/>
      <c r="T192" s="126"/>
      <c r="U192" s="126"/>
      <c r="V192" s="126"/>
      <c r="W192" s="126"/>
      <c r="X192" s="126"/>
      <c r="Y192" s="126"/>
      <c r="Z192" s="126"/>
    </row>
    <row r="193" spans="1:26" s="125" customFormat="1" x14ac:dyDescent="0.25">
      <c r="A193" s="210"/>
      <c r="B193" s="204"/>
      <c r="C193" s="205"/>
      <c r="D193" s="211"/>
      <c r="E193" s="60" t="str">
        <f t="shared" si="102"/>
        <v>Nominal return company should have received- real</v>
      </c>
      <c r="F193" s="225"/>
      <c r="G193" s="225" t="str">
        <f t="shared" si="103"/>
        <v>£m</v>
      </c>
      <c r="H193" s="295">
        <f t="shared" si="104"/>
        <v>15.119401501398777</v>
      </c>
      <c r="I193" s="225"/>
      <c r="J193" s="225">
        <f t="shared" si="105"/>
        <v>0</v>
      </c>
      <c r="K193" s="225">
        <f t="shared" si="105"/>
        <v>0</v>
      </c>
      <c r="L193" s="225">
        <f t="shared" si="105"/>
        <v>0</v>
      </c>
      <c r="M193" s="226">
        <f t="shared" si="105"/>
        <v>3.234950429043733</v>
      </c>
      <c r="N193" s="225">
        <f t="shared" si="105"/>
        <v>3.1177277201417963</v>
      </c>
      <c r="O193" s="225">
        <f t="shared" si="105"/>
        <v>3.0623178414558598</v>
      </c>
      <c r="P193" s="225">
        <f t="shared" si="105"/>
        <v>2.9200626155695515</v>
      </c>
      <c r="Q193" s="225">
        <f t="shared" si="105"/>
        <v>2.7843428951878373</v>
      </c>
      <c r="R193" s="225">
        <f t="shared" si="105"/>
        <v>0</v>
      </c>
      <c r="S193" s="126"/>
      <c r="T193" s="126"/>
      <c r="U193" s="126"/>
      <c r="V193" s="126"/>
      <c r="W193" s="126"/>
      <c r="X193" s="126"/>
      <c r="Y193" s="126"/>
      <c r="Z193" s="126"/>
    </row>
    <row r="194" spans="1:26" s="125" customFormat="1" x14ac:dyDescent="0.25">
      <c r="A194" s="210"/>
      <c r="B194" s="204"/>
      <c r="C194" s="205"/>
      <c r="D194" s="211"/>
      <c r="E194" s="60" t="str">
        <f t="shared" si="102"/>
        <v>Total nominal revenue company should have received- real</v>
      </c>
      <c r="F194" s="225"/>
      <c r="G194" s="225" t="str">
        <f t="shared" si="103"/>
        <v>£m</v>
      </c>
      <c r="H194" s="295">
        <f t="shared" si="104"/>
        <v>54.173681123845384</v>
      </c>
      <c r="I194" s="225"/>
      <c r="J194" s="225">
        <f t="shared" si="105"/>
        <v>0</v>
      </c>
      <c r="K194" s="225">
        <f t="shared" si="105"/>
        <v>0</v>
      </c>
      <c r="L194" s="225">
        <f t="shared" si="105"/>
        <v>0</v>
      </c>
      <c r="M194" s="226">
        <f t="shared" si="105"/>
        <v>11.591012579317294</v>
      </c>
      <c r="N194" s="225">
        <f t="shared" si="105"/>
        <v>11.170996902642568</v>
      </c>
      <c r="O194" s="225">
        <f t="shared" si="105"/>
        <v>10.972460135247035</v>
      </c>
      <c r="P194" s="225">
        <f t="shared" si="105"/>
        <v>10.462751517174258</v>
      </c>
      <c r="Q194" s="225">
        <f t="shared" si="105"/>
        <v>9.9764599894642334</v>
      </c>
      <c r="R194" s="225">
        <f t="shared" si="105"/>
        <v>0</v>
      </c>
      <c r="S194" s="126"/>
      <c r="T194" s="126"/>
      <c r="U194" s="126"/>
      <c r="V194" s="126"/>
      <c r="W194" s="126"/>
      <c r="X194" s="126"/>
      <c r="Y194" s="126"/>
      <c r="Z194" s="126"/>
    </row>
    <row r="196" spans="1:26" x14ac:dyDescent="0.25">
      <c r="E196" s="56" t="str">
        <f>E$189</f>
        <v>True up Nominal RCV run-off- real</v>
      </c>
      <c r="F196" s="225">
        <f t="shared" ref="F196:R196" si="106">F$189</f>
        <v>0</v>
      </c>
      <c r="G196" s="56" t="str">
        <f t="shared" si="106"/>
        <v>£m</v>
      </c>
      <c r="H196" s="299">
        <f t="shared" si="106"/>
        <v>38.23844443668758</v>
      </c>
      <c r="I196" s="299">
        <f t="shared" si="106"/>
        <v>0</v>
      </c>
      <c r="J196" s="225">
        <f t="shared" si="106"/>
        <v>0</v>
      </c>
      <c r="K196" s="225">
        <f t="shared" si="106"/>
        <v>0</v>
      </c>
      <c r="L196" s="225">
        <f t="shared" si="106"/>
        <v>0</v>
      </c>
      <c r="M196" s="226">
        <f t="shared" si="106"/>
        <v>8.3867570885546563</v>
      </c>
      <c r="N196" s="225">
        <f t="shared" si="106"/>
        <v>7.9937273482601201</v>
      </c>
      <c r="O196" s="225">
        <f t="shared" si="106"/>
        <v>7.6279911908269673</v>
      </c>
      <c r="P196" s="225">
        <f t="shared" si="106"/>
        <v>7.2807166191046413</v>
      </c>
      <c r="Q196" s="225">
        <f t="shared" si="106"/>
        <v>6.9492521899411939</v>
      </c>
      <c r="R196" s="225">
        <f t="shared" si="106"/>
        <v>0</v>
      </c>
    </row>
    <row r="197" spans="1:26" x14ac:dyDescent="0.25">
      <c r="E197" s="56" t="str">
        <f>E$192</f>
        <v>RCV run-off company should have received- real</v>
      </c>
      <c r="F197" s="225">
        <f t="shared" ref="F197:R197" si="107">F$192</f>
        <v>0</v>
      </c>
      <c r="G197" s="56" t="str">
        <f t="shared" si="107"/>
        <v>£m</v>
      </c>
      <c r="H197" s="299">
        <f t="shared" si="107"/>
        <v>39.054279622446607</v>
      </c>
      <c r="I197" s="299">
        <f t="shared" si="107"/>
        <v>0</v>
      </c>
      <c r="J197" s="225">
        <f t="shared" si="107"/>
        <v>0</v>
      </c>
      <c r="K197" s="225">
        <f t="shared" si="107"/>
        <v>0</v>
      </c>
      <c r="L197" s="225">
        <f t="shared" si="107"/>
        <v>0</v>
      </c>
      <c r="M197" s="226">
        <f t="shared" si="107"/>
        <v>8.3560621502735604</v>
      </c>
      <c r="N197" s="225">
        <f t="shared" si="107"/>
        <v>8.0532691825007721</v>
      </c>
      <c r="O197" s="225">
        <f t="shared" si="107"/>
        <v>7.9101422937911741</v>
      </c>
      <c r="P197" s="225">
        <f t="shared" si="107"/>
        <v>7.5426889016047047</v>
      </c>
      <c r="Q197" s="225">
        <f t="shared" si="107"/>
        <v>7.1921170942763952</v>
      </c>
      <c r="R197" s="225">
        <f t="shared" si="107"/>
        <v>0</v>
      </c>
    </row>
    <row r="198" spans="1:26" x14ac:dyDescent="0.25">
      <c r="A198" s="89"/>
      <c r="B198" s="95"/>
      <c r="C198" s="332"/>
      <c r="D198" s="91"/>
      <c r="E198" s="60" t="s">
        <v>269</v>
      </c>
      <c r="G198" s="56" t="s">
        <v>88</v>
      </c>
      <c r="H198" s="226">
        <f xml:space="preserve"> SUM(J198:R198)</f>
        <v>0.81583518575902758</v>
      </c>
      <c r="I198" s="226"/>
      <c r="J198" s="225">
        <f t="shared" ref="J198:K198" si="108">J197-J196</f>
        <v>0</v>
      </c>
      <c r="K198" s="225">
        <f t="shared" si="108"/>
        <v>0</v>
      </c>
      <c r="L198" s="225">
        <f>L197-L196</f>
        <v>0</v>
      </c>
      <c r="M198" s="226">
        <f>M197-M196</f>
        <v>-3.0694938281095929E-2</v>
      </c>
      <c r="N198" s="225">
        <f t="shared" ref="N198:R198" si="109">N197-N196</f>
        <v>5.9541834240651959E-2</v>
      </c>
      <c r="O198" s="225">
        <f t="shared" si="109"/>
        <v>0.28215110296420676</v>
      </c>
      <c r="P198" s="225">
        <f t="shared" si="109"/>
        <v>0.26197228250006344</v>
      </c>
      <c r="Q198" s="225">
        <f t="shared" si="109"/>
        <v>0.24286490433520136</v>
      </c>
      <c r="R198" s="225">
        <f t="shared" si="109"/>
        <v>0</v>
      </c>
    </row>
    <row r="200" spans="1:26" x14ac:dyDescent="0.25">
      <c r="E200" s="56" t="str">
        <f>E$190</f>
        <v>True up Nominal return- real</v>
      </c>
      <c r="F200" s="225">
        <f t="shared" ref="F200:R200" si="110">F$190</f>
        <v>0</v>
      </c>
      <c r="G200" s="56" t="str">
        <f t="shared" si="110"/>
        <v>£m</v>
      </c>
      <c r="H200" s="299">
        <f t="shared" si="110"/>
        <v>14.803560578157951</v>
      </c>
      <c r="I200" s="299">
        <f t="shared" si="110"/>
        <v>0</v>
      </c>
      <c r="J200" s="225">
        <f t="shared" si="110"/>
        <v>0</v>
      </c>
      <c r="K200" s="225">
        <f t="shared" si="110"/>
        <v>0</v>
      </c>
      <c r="L200" s="225">
        <f t="shared" si="110"/>
        <v>0</v>
      </c>
      <c r="M200" s="226">
        <f t="shared" si="110"/>
        <v>3.2468336106161257</v>
      </c>
      <c r="N200" s="225">
        <f t="shared" si="110"/>
        <v>3.094676804679596</v>
      </c>
      <c r="O200" s="225">
        <f t="shared" si="110"/>
        <v>2.9530863858761109</v>
      </c>
      <c r="P200" s="225">
        <f t="shared" si="110"/>
        <v>2.8186431511818428</v>
      </c>
      <c r="Q200" s="225">
        <f t="shared" si="110"/>
        <v>2.6903206258042736</v>
      </c>
      <c r="R200" s="225">
        <f t="shared" si="110"/>
        <v>0</v>
      </c>
    </row>
    <row r="201" spans="1:26" x14ac:dyDescent="0.25">
      <c r="E201" s="56" t="str">
        <f>E$193</f>
        <v>Nominal return company should have received- real</v>
      </c>
      <c r="F201" s="225">
        <f t="shared" ref="F201:R201" si="111">F$193</f>
        <v>0</v>
      </c>
      <c r="G201" s="56" t="str">
        <f t="shared" si="111"/>
        <v>£m</v>
      </c>
      <c r="H201" s="299">
        <f t="shared" si="111"/>
        <v>15.119401501398777</v>
      </c>
      <c r="I201" s="299">
        <f t="shared" si="111"/>
        <v>0</v>
      </c>
      <c r="J201" s="225">
        <f t="shared" si="111"/>
        <v>0</v>
      </c>
      <c r="K201" s="225">
        <f t="shared" si="111"/>
        <v>0</v>
      </c>
      <c r="L201" s="225">
        <f t="shared" si="111"/>
        <v>0</v>
      </c>
      <c r="M201" s="226">
        <f t="shared" si="111"/>
        <v>3.234950429043733</v>
      </c>
      <c r="N201" s="225">
        <f t="shared" si="111"/>
        <v>3.1177277201417963</v>
      </c>
      <c r="O201" s="225">
        <f t="shared" si="111"/>
        <v>3.0623178414558598</v>
      </c>
      <c r="P201" s="225">
        <f t="shared" si="111"/>
        <v>2.9200626155695515</v>
      </c>
      <c r="Q201" s="225">
        <f t="shared" si="111"/>
        <v>2.7843428951878373</v>
      </c>
      <c r="R201" s="225">
        <f t="shared" si="111"/>
        <v>0</v>
      </c>
    </row>
    <row r="202" spans="1:26" x14ac:dyDescent="0.25">
      <c r="A202" s="89"/>
      <c r="B202" s="95"/>
      <c r="C202" s="332"/>
      <c r="D202" s="91"/>
      <c r="E202" s="60" t="s">
        <v>276</v>
      </c>
      <c r="G202" s="56" t="s">
        <v>88</v>
      </c>
      <c r="H202" s="226">
        <f xml:space="preserve"> SUM(J202:R202)</f>
        <v>0.3158409232408288</v>
      </c>
      <c r="I202" s="226"/>
      <c r="J202" s="225">
        <f t="shared" ref="J202:K202" si="112">J201-J200</f>
        <v>0</v>
      </c>
      <c r="K202" s="225">
        <f t="shared" si="112"/>
        <v>0</v>
      </c>
      <c r="L202" s="225">
        <f>L201-L200</f>
        <v>0</v>
      </c>
      <c r="M202" s="226">
        <f>M201-M200</f>
        <v>-1.1883181572392765E-2</v>
      </c>
      <c r="N202" s="225">
        <f t="shared" ref="N202:R202" si="113">N201-N200</f>
        <v>2.3050915462200283E-2</v>
      </c>
      <c r="O202" s="225">
        <f>O201-O200</f>
        <v>0.10923145557974889</v>
      </c>
      <c r="P202" s="225">
        <f t="shared" si="113"/>
        <v>0.10141946438770866</v>
      </c>
      <c r="Q202" s="225">
        <f t="shared" si="113"/>
        <v>9.4022269383563728E-2</v>
      </c>
      <c r="R202" s="225">
        <f t="shared" si="113"/>
        <v>0</v>
      </c>
    </row>
    <row r="204" spans="1:26" x14ac:dyDescent="0.25">
      <c r="E204" s="56" t="str">
        <f>E$191</f>
        <v>Total True up Nominal revenue to company- real</v>
      </c>
      <c r="F204" s="225">
        <f t="shared" ref="F204:R204" si="114">F$191</f>
        <v>0</v>
      </c>
      <c r="G204" s="56" t="str">
        <f t="shared" si="114"/>
        <v>£m</v>
      </c>
      <c r="H204" s="299">
        <f t="shared" si="114"/>
        <v>53.042005014845529</v>
      </c>
      <c r="I204" s="299"/>
      <c r="J204" s="225">
        <f t="shared" si="114"/>
        <v>0</v>
      </c>
      <c r="K204" s="225">
        <f t="shared" si="114"/>
        <v>0</v>
      </c>
      <c r="L204" s="225">
        <f t="shared" si="114"/>
        <v>0</v>
      </c>
      <c r="M204" s="226">
        <f t="shared" si="114"/>
        <v>11.633590699170782</v>
      </c>
      <c r="N204" s="225">
        <f t="shared" si="114"/>
        <v>11.088404152939717</v>
      </c>
      <c r="O204" s="225">
        <f t="shared" si="114"/>
        <v>10.581077576703079</v>
      </c>
      <c r="P204" s="225">
        <f t="shared" si="114"/>
        <v>10.099359770286483</v>
      </c>
      <c r="Q204" s="225">
        <f t="shared" si="114"/>
        <v>9.639572815745467</v>
      </c>
      <c r="R204" s="225">
        <f t="shared" si="114"/>
        <v>0</v>
      </c>
    </row>
    <row r="205" spans="1:26" x14ac:dyDescent="0.25">
      <c r="E205" s="56" t="str">
        <f>E$194</f>
        <v>Total nominal revenue company should have received- real</v>
      </c>
      <c r="F205" s="225">
        <f t="shared" ref="F205:R205" si="115">F$194</f>
        <v>0</v>
      </c>
      <c r="G205" s="56" t="str">
        <f t="shared" si="115"/>
        <v>£m</v>
      </c>
      <c r="H205" s="299">
        <f t="shared" si="115"/>
        <v>54.173681123845384</v>
      </c>
      <c r="I205" s="299"/>
      <c r="J205" s="225">
        <f t="shared" si="115"/>
        <v>0</v>
      </c>
      <c r="K205" s="225">
        <f t="shared" si="115"/>
        <v>0</v>
      </c>
      <c r="L205" s="225">
        <f t="shared" si="115"/>
        <v>0</v>
      </c>
      <c r="M205" s="226">
        <f t="shared" si="115"/>
        <v>11.591012579317294</v>
      </c>
      <c r="N205" s="225">
        <f t="shared" si="115"/>
        <v>11.170996902642568</v>
      </c>
      <c r="O205" s="225">
        <f t="shared" si="115"/>
        <v>10.972460135247035</v>
      </c>
      <c r="P205" s="225">
        <f t="shared" si="115"/>
        <v>10.462751517174258</v>
      </c>
      <c r="Q205" s="225">
        <f t="shared" si="115"/>
        <v>9.9764599894642334</v>
      </c>
      <c r="R205" s="225">
        <f t="shared" si="115"/>
        <v>0</v>
      </c>
    </row>
    <row r="206" spans="1:26" x14ac:dyDescent="0.25">
      <c r="A206" s="89"/>
      <c r="B206" s="95"/>
      <c r="C206" s="332"/>
      <c r="D206" s="91"/>
      <c r="E206" s="60" t="s">
        <v>322</v>
      </c>
      <c r="G206" s="56" t="s">
        <v>88</v>
      </c>
      <c r="H206" s="226">
        <f xml:space="preserve"> SUM(J206:R206)</f>
        <v>1.1316761089998604</v>
      </c>
      <c r="I206" s="226"/>
      <c r="J206" s="225">
        <f t="shared" ref="J206:K206" si="116">J205-J204</f>
        <v>0</v>
      </c>
      <c r="K206" s="225">
        <f t="shared" si="116"/>
        <v>0</v>
      </c>
      <c r="L206" s="225">
        <f>L205-L204</f>
        <v>0</v>
      </c>
      <c r="M206" s="226">
        <f>M205-M204</f>
        <v>-4.2578119853487806E-2</v>
      </c>
      <c r="N206" s="225">
        <f t="shared" ref="N206:R206" si="117">N205-N204</f>
        <v>8.2592749702850909E-2</v>
      </c>
      <c r="O206" s="225">
        <f t="shared" si="117"/>
        <v>0.39138255854395609</v>
      </c>
      <c r="P206" s="225">
        <f t="shared" si="117"/>
        <v>0.36339174688777476</v>
      </c>
      <c r="Q206" s="225">
        <f t="shared" si="117"/>
        <v>0.33688717371876642</v>
      </c>
      <c r="R206" s="225">
        <f t="shared" si="117"/>
        <v>0</v>
      </c>
    </row>
    <row r="208" spans="1:26" x14ac:dyDescent="0.25">
      <c r="B208" s="80" t="s">
        <v>270</v>
      </c>
      <c r="E208" s="60"/>
      <c r="H208" s="226"/>
      <c r="I208" s="226"/>
      <c r="J208" s="225"/>
      <c r="K208" s="225"/>
      <c r="L208" s="225"/>
      <c r="M208" s="226"/>
      <c r="N208" s="225"/>
      <c r="O208" s="225"/>
      <c r="P208" s="225"/>
      <c r="Q208" s="225"/>
      <c r="R208" s="225"/>
    </row>
    <row r="209" spans="1:26" s="126" customFormat="1" x14ac:dyDescent="0.25">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5">
      <c r="A210" s="249"/>
      <c r="B210" s="250"/>
      <c r="C210" s="251"/>
      <c r="D210" s="252"/>
      <c r="E210" s="49" t="str">
        <f>InpR!E$108</f>
        <v>WACC real on RCV - CPI(H) bf and additions - WR</v>
      </c>
      <c r="F210" s="253">
        <f>InpR!F$108</f>
        <v>0</v>
      </c>
      <c r="G210" s="271" t="str">
        <f>InpR!G$108</f>
        <v>%</v>
      </c>
      <c r="H210" s="253" t="str">
        <f>InpR!I$108</f>
        <v>PR19 Financial model, 'Water Resources' sheet row 860</v>
      </c>
      <c r="I210" s="253" t="e">
        <f>InpR!#REF!</f>
        <v>#REF!</v>
      </c>
      <c r="J210" s="253">
        <f>InpR!J$108</f>
        <v>0</v>
      </c>
      <c r="K210" s="253">
        <f>InpR!K$108</f>
        <v>0</v>
      </c>
      <c r="L210" s="253">
        <f>InpR!L$108</f>
        <v>0</v>
      </c>
      <c r="M210" s="253">
        <f>InpR!M$108</f>
        <v>3.1200592500000068E-2</v>
      </c>
      <c r="N210" s="253">
        <f>InpR!N$108</f>
        <v>3.1200592500000068E-2</v>
      </c>
      <c r="O210" s="253">
        <f>InpR!O$108</f>
        <v>3.1200592500000068E-2</v>
      </c>
      <c r="P210" s="253">
        <f>InpR!P$108</f>
        <v>3.1200592500000068E-2</v>
      </c>
      <c r="Q210" s="253">
        <f>InpR!Q$108</f>
        <v>3.1200592500000068E-2</v>
      </c>
      <c r="R210" s="253">
        <f>InpR!R$108</f>
        <v>0</v>
      </c>
    </row>
    <row r="211" spans="1:26" x14ac:dyDescent="0.25">
      <c r="E211" s="60" t="s">
        <v>272</v>
      </c>
      <c r="G211" s="56" t="s">
        <v>273</v>
      </c>
      <c r="J211" s="309">
        <f xml:space="preserve"> (1 + J$210) ^ J$209</f>
        <v>1</v>
      </c>
      <c r="K211" s="309">
        <f t="shared" ref="K211:R211" si="118" xml:space="preserve"> (1 + K$210) ^ K$209</f>
        <v>1</v>
      </c>
      <c r="L211" s="309">
        <f t="shared" si="118"/>
        <v>1</v>
      </c>
      <c r="M211" s="309">
        <f t="shared" si="118"/>
        <v>1.1307656717248122</v>
      </c>
      <c r="N211" s="309">
        <f t="shared" si="118"/>
        <v>1.0965525814753758</v>
      </c>
      <c r="O211" s="309">
        <f t="shared" si="118"/>
        <v>1.0633746619723512</v>
      </c>
      <c r="P211" s="309">
        <f t="shared" si="118"/>
        <v>1.0312005925000001</v>
      </c>
      <c r="Q211" s="309">
        <f t="shared" si="118"/>
        <v>1</v>
      </c>
      <c r="R211" s="309">
        <f t="shared" si="118"/>
        <v>1</v>
      </c>
    </row>
    <row r="213" spans="1:26" x14ac:dyDescent="0.25">
      <c r="B213" s="80" t="s">
        <v>274</v>
      </c>
    </row>
    <row r="214" spans="1:26" x14ac:dyDescent="0.25">
      <c r="E214" s="56" t="str">
        <f>E$198</f>
        <v>Value of True up run-off - real</v>
      </c>
      <c r="F214" s="225">
        <f t="shared" ref="F214:R214" si="119">F$198</f>
        <v>0</v>
      </c>
      <c r="G214" s="56" t="str">
        <f t="shared" si="119"/>
        <v>£m</v>
      </c>
      <c r="H214" s="299">
        <f t="shared" si="119"/>
        <v>0.81583518575902758</v>
      </c>
      <c r="I214" s="299">
        <f t="shared" si="119"/>
        <v>0</v>
      </c>
      <c r="J214" s="225">
        <f t="shared" si="119"/>
        <v>0</v>
      </c>
      <c r="K214" s="225">
        <f t="shared" si="119"/>
        <v>0</v>
      </c>
      <c r="L214" s="225">
        <f t="shared" si="119"/>
        <v>0</v>
      </c>
      <c r="M214" s="226">
        <f t="shared" si="119"/>
        <v>-3.0694938281095929E-2</v>
      </c>
      <c r="N214" s="225">
        <f t="shared" si="119"/>
        <v>5.9541834240651959E-2</v>
      </c>
      <c r="O214" s="225">
        <f t="shared" si="119"/>
        <v>0.28215110296420676</v>
      </c>
      <c r="P214" s="225">
        <f t="shared" si="119"/>
        <v>0.26197228250006344</v>
      </c>
      <c r="Q214" s="225">
        <f t="shared" si="119"/>
        <v>0.24286490433520136</v>
      </c>
      <c r="R214" s="225">
        <f t="shared" si="119"/>
        <v>0</v>
      </c>
    </row>
    <row r="215" spans="1:26" x14ac:dyDescent="0.25">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1.1307656717248122</v>
      </c>
      <c r="N215" s="225">
        <f t="shared" si="120"/>
        <v>1.0965525814753758</v>
      </c>
      <c r="O215" s="225">
        <f t="shared" si="120"/>
        <v>1.0633746619723512</v>
      </c>
      <c r="P215" s="225">
        <f t="shared" si="120"/>
        <v>1.0312005925000001</v>
      </c>
      <c r="Q215" s="225">
        <f t="shared" si="120"/>
        <v>1</v>
      </c>
      <c r="R215" s="225">
        <f t="shared" si="120"/>
        <v>1</v>
      </c>
    </row>
    <row r="216" spans="1:26" s="44" customFormat="1" x14ac:dyDescent="0.25">
      <c r="A216" s="319"/>
      <c r="B216" s="320"/>
      <c r="C216" s="321"/>
      <c r="D216" s="322"/>
      <c r="E216" s="44" t="s">
        <v>354</v>
      </c>
      <c r="G216" s="44" t="s">
        <v>88</v>
      </c>
      <c r="H216" s="325">
        <f xml:space="preserve"> SUM(J216:R216)</f>
        <v>0.84362518054592428</v>
      </c>
      <c r="J216" s="325">
        <f xml:space="preserve"> J214 * J215</f>
        <v>0</v>
      </c>
      <c r="K216" s="325">
        <f t="shared" ref="K216:R216" si="121" xml:space="preserve"> K214 * K215</f>
        <v>0</v>
      </c>
      <c r="L216" s="325">
        <f t="shared" si="121"/>
        <v>0</v>
      </c>
      <c r="M216" s="331">
        <f t="shared" si="121"/>
        <v>-3.4708782503975091E-2</v>
      </c>
      <c r="N216" s="325">
        <f t="shared" si="121"/>
        <v>6.5290752042365827E-2</v>
      </c>
      <c r="O216" s="325">
        <f t="shared" si="121"/>
        <v>0.30003233373968941</v>
      </c>
      <c r="P216" s="325">
        <f t="shared" si="121"/>
        <v>0.27014597293264281</v>
      </c>
      <c r="Q216" s="325">
        <f t="shared" si="121"/>
        <v>0.24286490433520136</v>
      </c>
      <c r="R216" s="325">
        <f t="shared" si="121"/>
        <v>0</v>
      </c>
      <c r="S216" s="46"/>
      <c r="T216" s="46"/>
      <c r="U216" s="46"/>
      <c r="V216" s="46"/>
      <c r="W216" s="46"/>
      <c r="X216" s="46"/>
      <c r="Y216" s="46"/>
      <c r="Z216" s="46"/>
    </row>
    <row r="218" spans="1:26" x14ac:dyDescent="0.25">
      <c r="B218" s="80" t="s">
        <v>275</v>
      </c>
    </row>
    <row r="219" spans="1:26" x14ac:dyDescent="0.25">
      <c r="E219" s="56" t="str">
        <f>E202</f>
        <v>Value of True up return - real</v>
      </c>
      <c r="F219" s="225">
        <f t="shared" ref="F219:R219" si="122">F202</f>
        <v>0</v>
      </c>
      <c r="G219" s="56" t="str">
        <f t="shared" si="122"/>
        <v>£m</v>
      </c>
      <c r="H219" s="299">
        <f t="shared" si="122"/>
        <v>0.3158409232408288</v>
      </c>
      <c r="I219" s="299">
        <f t="shared" si="122"/>
        <v>0</v>
      </c>
      <c r="J219" s="225">
        <f t="shared" si="122"/>
        <v>0</v>
      </c>
      <c r="K219" s="225">
        <f t="shared" si="122"/>
        <v>0</v>
      </c>
      <c r="L219" s="225">
        <f t="shared" si="122"/>
        <v>0</v>
      </c>
      <c r="M219" s="226">
        <f t="shared" si="122"/>
        <v>-1.1883181572392765E-2</v>
      </c>
      <c r="N219" s="225">
        <f t="shared" si="122"/>
        <v>2.3050915462200283E-2</v>
      </c>
      <c r="O219" s="225">
        <f t="shared" si="122"/>
        <v>0.10923145557974889</v>
      </c>
      <c r="P219" s="225">
        <f t="shared" si="122"/>
        <v>0.10141946438770866</v>
      </c>
      <c r="Q219" s="225">
        <f t="shared" si="122"/>
        <v>9.4022269383563728E-2</v>
      </c>
      <c r="R219" s="225">
        <f t="shared" si="122"/>
        <v>0</v>
      </c>
    </row>
    <row r="220" spans="1:26" x14ac:dyDescent="0.25">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1.1307656717248122</v>
      </c>
      <c r="N220" s="225">
        <f t="shared" si="123"/>
        <v>1.0965525814753758</v>
      </c>
      <c r="O220" s="225">
        <f t="shared" si="123"/>
        <v>1.0633746619723512</v>
      </c>
      <c r="P220" s="225">
        <f t="shared" si="123"/>
        <v>1.0312005925000001</v>
      </c>
      <c r="Q220" s="225">
        <f t="shared" si="123"/>
        <v>1</v>
      </c>
      <c r="R220" s="225">
        <f t="shared" si="123"/>
        <v>1</v>
      </c>
    </row>
    <row r="221" spans="1:26" s="44" customFormat="1" x14ac:dyDescent="0.25">
      <c r="A221" s="319"/>
      <c r="B221" s="320"/>
      <c r="C221" s="321"/>
      <c r="D221" s="322"/>
      <c r="E221" s="44" t="s">
        <v>355</v>
      </c>
      <c r="G221" s="44" t="s">
        <v>88</v>
      </c>
      <c r="H221" s="325">
        <f xml:space="preserve"> SUM(J221:R221)</f>
        <v>0.32659949036757668</v>
      </c>
      <c r="J221" s="325">
        <f xml:space="preserve"> J219 * J220</f>
        <v>0</v>
      </c>
      <c r="K221" s="325">
        <f t="shared" ref="K221:M221" si="124" xml:space="preserve"> K219 * K220</f>
        <v>0</v>
      </c>
      <c r="L221" s="325">
        <f t="shared" si="124"/>
        <v>0</v>
      </c>
      <c r="M221" s="331">
        <f t="shared" si="124"/>
        <v>-1.3437093792934614E-2</v>
      </c>
      <c r="N221" s="325">
        <f xml:space="preserve"> N219 * N220</f>
        <v>2.5276540855446377E-2</v>
      </c>
      <c r="O221" s="325">
        <f t="shared" ref="O221:R221" si="125" xml:space="preserve"> O219 * O220</f>
        <v>0.11615396215386338</v>
      </c>
      <c r="P221" s="325">
        <f t="shared" si="125"/>
        <v>0.10458381176763783</v>
      </c>
      <c r="Q221" s="325">
        <f t="shared" si="125"/>
        <v>9.4022269383563728E-2</v>
      </c>
      <c r="R221" s="325">
        <f t="shared" si="125"/>
        <v>0</v>
      </c>
      <c r="S221" s="46"/>
      <c r="T221" s="46"/>
      <c r="U221" s="46"/>
      <c r="V221" s="46"/>
      <c r="W221" s="46"/>
      <c r="X221" s="46"/>
      <c r="Y221" s="46"/>
      <c r="Z221" s="46"/>
    </row>
    <row r="223" spans="1:26" x14ac:dyDescent="0.3">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62" priority="6" stopIfTrue="1" operator="notEqual">
      <formula>0</formula>
    </cfRule>
    <cfRule type="cellIs" dxfId="61" priority="7" stopIfTrue="1" operator="equal">
      <formula>""</formula>
    </cfRule>
  </conditionalFormatting>
  <conditionalFormatting sqref="J3:Z3">
    <cfRule type="cellIs" dxfId="60" priority="8" operator="equal">
      <formula>"Post-Fcst"</formula>
    </cfRule>
    <cfRule type="cellIs" dxfId="59" priority="9" operator="equal">
      <formula>"Forecast"</formula>
    </cfRule>
    <cfRule type="cellIs" dxfId="58" priority="10" operator="equal">
      <formula>"Pre Fcst"</formula>
    </cfRule>
  </conditionalFormatting>
  <conditionalFormatting sqref="F2">
    <cfRule type="cellIs" dxfId="57" priority="4" stopIfTrue="1" operator="notEqual">
      <formula>0</formula>
    </cfRule>
    <cfRule type="cellIs" dxfId="56" priority="5" stopIfTrue="1" operator="equal">
      <formula>""</formula>
    </cfRule>
  </conditionalFormatting>
  <conditionalFormatting sqref="F165">
    <cfRule type="cellIs" dxfId="55" priority="2" stopIfTrue="1" operator="notEqual">
      <formula>0</formula>
    </cfRule>
    <cfRule type="cellIs" dxfId="54"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69" customWidth="1"/>
    <col min="2" max="2" width="1.81640625" style="80" customWidth="1"/>
    <col min="3" max="3" width="1.81640625" style="144" customWidth="1"/>
    <col min="4" max="4" width="1.81640625" style="74" customWidth="1"/>
    <col min="5" max="5" width="73.453125" style="56" bestFit="1" customWidth="1"/>
    <col min="6" max="6" width="12.54296875" style="56" customWidth="1"/>
    <col min="7" max="7" width="10.81640625" style="56" bestFit="1" customWidth="1"/>
    <col min="8" max="8" width="11.54296875" style="56" customWidth="1"/>
    <col min="9" max="9" width="2.54296875" style="56" customWidth="1"/>
    <col min="10" max="18" width="11.54296875" style="56" customWidth="1"/>
    <col min="19" max="26" width="11.54296875" style="60" hidden="1" customWidth="1"/>
    <col min="27" max="16384" width="0" style="56" hidden="1"/>
  </cols>
  <sheetData>
    <row r="1" spans="1:26" s="156" customFormat="1" ht="25" x14ac:dyDescent="0.5">
      <c r="A1" s="152" t="str">
        <f ca="1" xml:space="preserve"> RIGHT(CELL("filename", $A$1), LEN(CELL("filename", $A$1)) - SEARCH("]", CELL("filename", $A$1)))</f>
        <v>Calcs-WN</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5" customFormat="1" x14ac:dyDescent="0.25">
      <c r="A3" s="31"/>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5">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25">
      <c r="C10" s="144" t="s">
        <v>259</v>
      </c>
    </row>
    <row r="12" spans="1:26" x14ac:dyDescent="0.25">
      <c r="B12" s="80" t="s">
        <v>132</v>
      </c>
    </row>
    <row r="13" spans="1:26" s="236" customFormat="1" x14ac:dyDescent="0.25">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5">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5">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5">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5">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5">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5">
      <c r="A20" s="260"/>
      <c r="B20" s="261"/>
      <c r="C20" s="262"/>
      <c r="D20" s="263"/>
      <c r="I20" s="266"/>
      <c r="S20" s="266"/>
      <c r="T20" s="266"/>
      <c r="U20" s="266"/>
      <c r="V20" s="266"/>
      <c r="W20" s="266"/>
      <c r="X20" s="266"/>
      <c r="Y20" s="266"/>
      <c r="Z20" s="266"/>
    </row>
    <row r="21" spans="1:16383" x14ac:dyDescent="0.25">
      <c r="B21" s="80" t="s">
        <v>135</v>
      </c>
    </row>
    <row r="22" spans="1:16383" s="208" customFormat="1" x14ac:dyDescent="0.25">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885.97074589756835</v>
      </c>
      <c r="N22" s="292">
        <f t="shared" si="3"/>
        <v>863.99524174467354</v>
      </c>
      <c r="O22" s="292">
        <f t="shared" si="3"/>
        <v>846.94896149405804</v>
      </c>
      <c r="P22" s="292">
        <f t="shared" si="3"/>
        <v>831.7840497012719</v>
      </c>
      <c r="Q22" s="292">
        <f t="shared" si="3"/>
        <v>817.28372471964019</v>
      </c>
      <c r="R22" s="292">
        <f t="shared" si="3"/>
        <v>803.03618100334756</v>
      </c>
    </row>
    <row r="23" spans="1:16383" s="213" customFormat="1" x14ac:dyDescent="0.25">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5">
      <c r="A24" s="210"/>
      <c r="B24" s="204"/>
      <c r="C24" s="205"/>
      <c r="D24" s="211"/>
      <c r="E24" s="213" t="s">
        <v>136</v>
      </c>
      <c r="G24" s="125" t="s">
        <v>88</v>
      </c>
      <c r="J24" s="225">
        <f>J22*J23</f>
        <v>0</v>
      </c>
      <c r="K24" s="225">
        <f t="shared" ref="K24:R24" si="5">K22*K23</f>
        <v>0</v>
      </c>
      <c r="L24" s="225">
        <f t="shared" si="5"/>
        <v>0</v>
      </c>
      <c r="M24" s="225">
        <f>M22*M23</f>
        <v>21.491959432411267</v>
      </c>
      <c r="N24" s="225">
        <f t="shared" si="5"/>
        <v>25.563587678767355</v>
      </c>
      <c r="O24" s="225">
        <f t="shared" si="5"/>
        <v>26.682011829407937</v>
      </c>
      <c r="P24" s="225">
        <f t="shared" si="5"/>
        <v>26.617089590441278</v>
      </c>
      <c r="Q24" s="225">
        <f t="shared" si="5"/>
        <v>26.153079191028329</v>
      </c>
      <c r="R24" s="225">
        <f t="shared" si="5"/>
        <v>24.091085430100271</v>
      </c>
      <c r="S24" s="126"/>
      <c r="T24" s="126"/>
      <c r="U24" s="126"/>
      <c r="V24" s="126"/>
      <c r="W24" s="126"/>
      <c r="X24" s="126"/>
      <c r="Y24" s="126"/>
      <c r="Z24" s="126"/>
    </row>
    <row r="26" spans="1:16383" s="253" customFormat="1" x14ac:dyDescent="0.25">
      <c r="A26" s="249"/>
      <c r="B26" s="250"/>
      <c r="C26" s="251"/>
      <c r="D26" s="252"/>
      <c r="E26" s="49" t="str">
        <f xml:space="preserve"> InpR!E$95</f>
        <v>Run-off rate - CPI(H) + RPI wedge - active - WN</v>
      </c>
      <c r="F26" s="253">
        <f xml:space="preserve"> InpR!F$95</f>
        <v>0</v>
      </c>
      <c r="G26" s="271" t="str">
        <f xml:space="preserve"> InpR!G$95</f>
        <v>%</v>
      </c>
      <c r="H26" s="253" t="str">
        <f xml:space="preserve"> InpR!I$95</f>
        <v>PR19 Financial model, 'F_OutputsMaster' sheet row 956, PR19FM2093POST</v>
      </c>
      <c r="I26" s="253" t="e">
        <f xml:space="preserve"> InpR!#REF!</f>
        <v>#REF!</v>
      </c>
      <c r="J26" s="253">
        <f xml:space="preserve"> InpR!J$95</f>
        <v>0</v>
      </c>
      <c r="K26" s="253">
        <f xml:space="preserve"> InpR!K$95</f>
        <v>0</v>
      </c>
      <c r="L26" s="253">
        <f xml:space="preserve"> InpR!L$95</f>
        <v>0</v>
      </c>
      <c r="M26" s="253">
        <f xml:space="preserve"> InpR!M$95</f>
        <v>4.7899999999999998E-2</v>
      </c>
      <c r="N26" s="253">
        <f xml:space="preserve"> InpR!N$95</f>
        <v>4.7899999999999998E-2</v>
      </c>
      <c r="O26" s="253">
        <f xml:space="preserve"> InpR!O$95</f>
        <v>4.7899999999999998E-2</v>
      </c>
      <c r="P26" s="253">
        <f xml:space="preserve"> InpR!P$95</f>
        <v>4.7899999999999998E-2</v>
      </c>
      <c r="Q26" s="253">
        <f xml:space="preserve"> InpR!Q$95</f>
        <v>4.7899999999999998E-2</v>
      </c>
      <c r="R26" s="253">
        <f xml:space="preserve"> InpR!R$95</f>
        <v>0</v>
      </c>
    </row>
    <row r="27" spans="1:16383" s="199" customFormat="1" x14ac:dyDescent="0.25">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885.97074589756835</v>
      </c>
      <c r="N27" s="292">
        <f t="shared" si="6"/>
        <v>863.99524174467354</v>
      </c>
      <c r="O27" s="292">
        <f t="shared" si="6"/>
        <v>846.94896149405804</v>
      </c>
      <c r="P27" s="292">
        <f t="shared" si="6"/>
        <v>831.7840497012719</v>
      </c>
      <c r="Q27" s="292">
        <f t="shared" si="6"/>
        <v>817.28372471964019</v>
      </c>
      <c r="R27" s="292">
        <f t="shared" si="6"/>
        <v>803.03618100334756</v>
      </c>
    </row>
    <row r="28" spans="1:16383" x14ac:dyDescent="0.25">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21.491959432411267</v>
      </c>
      <c r="N28" s="225">
        <f t="shared" si="7"/>
        <v>25.563587678767355</v>
      </c>
      <c r="O28" s="225">
        <f t="shared" si="7"/>
        <v>26.682011829407937</v>
      </c>
      <c r="P28" s="225">
        <f t="shared" si="7"/>
        <v>26.617089590441278</v>
      </c>
      <c r="Q28" s="225">
        <f t="shared" si="7"/>
        <v>26.153079191028329</v>
      </c>
      <c r="R28" s="225">
        <f t="shared" si="7"/>
        <v>24.091085430100271</v>
      </c>
    </row>
    <row r="29" spans="1:16383" x14ac:dyDescent="0.25">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43.467463585306021</v>
      </c>
      <c r="N29" s="225">
        <f t="shared" si="8"/>
        <v>42.609867929382816</v>
      </c>
      <c r="O29" s="225">
        <f t="shared" si="8"/>
        <v>41.846923622194019</v>
      </c>
      <c r="P29" s="225">
        <f t="shared" si="8"/>
        <v>41.117414572073059</v>
      </c>
      <c r="Q29" s="225">
        <f t="shared" si="8"/>
        <v>40.400622907321022</v>
      </c>
      <c r="R29" s="225">
        <f t="shared" si="8"/>
        <v>0</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5">
      <c r="E30" s="304"/>
      <c r="F30" s="304"/>
      <c r="G30" s="304"/>
      <c r="H30" s="304"/>
    </row>
    <row r="31" spans="1:16383" s="242" customFormat="1" x14ac:dyDescent="0.25">
      <c r="A31" s="238"/>
      <c r="B31" s="239"/>
      <c r="C31" s="240"/>
      <c r="D31" s="241"/>
      <c r="E31" s="302" t="str">
        <f>InpR!$E$88</f>
        <v>RCV - CPI(H) + RPI wedge initial balance - nominal - WN</v>
      </c>
      <c r="F31" s="302">
        <f>InpR!$F$88</f>
        <v>885.97074589756835</v>
      </c>
      <c r="G31" s="302" t="str">
        <f>InpR!$G$88</f>
        <v>£m</v>
      </c>
      <c r="H31" s="303"/>
    </row>
    <row r="32" spans="1:16383" s="49" customFormat="1" x14ac:dyDescent="0.25">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5">
      <c r="A33" s="67"/>
      <c r="B33" s="78"/>
      <c r="C33" s="142"/>
      <c r="D33" s="72"/>
      <c r="S33" s="59"/>
      <c r="T33" s="59"/>
      <c r="U33" s="59"/>
      <c r="V33" s="59"/>
      <c r="W33" s="59"/>
      <c r="X33" s="59"/>
      <c r="Y33" s="59"/>
      <c r="Z33" s="59"/>
    </row>
    <row r="34" spans="1:26" s="59" customFormat="1" x14ac:dyDescent="0.25">
      <c r="A34" s="66"/>
      <c r="B34" s="70"/>
      <c r="C34" s="145"/>
      <c r="D34" s="75"/>
      <c r="E34" s="59" t="s">
        <v>138</v>
      </c>
      <c r="G34" s="126" t="s">
        <v>88</v>
      </c>
      <c r="J34" s="293">
        <f t="shared" ref="J34:R34" si="9" xml:space="preserve"> I37</f>
        <v>0</v>
      </c>
      <c r="K34" s="293">
        <f t="shared" si="9"/>
        <v>0</v>
      </c>
      <c r="L34" s="293">
        <f t="shared" si="9"/>
        <v>0</v>
      </c>
      <c r="M34" s="293">
        <f t="shared" si="9"/>
        <v>885.97074589756835</v>
      </c>
      <c r="N34" s="293">
        <f t="shared" si="9"/>
        <v>863.99524174467354</v>
      </c>
      <c r="O34" s="293">
        <f t="shared" si="9"/>
        <v>846.94896149405804</v>
      </c>
      <c r="P34" s="293">
        <f t="shared" si="9"/>
        <v>831.7840497012719</v>
      </c>
      <c r="Q34" s="293">
        <f t="shared" si="9"/>
        <v>817.28372471964019</v>
      </c>
      <c r="R34" s="293">
        <f t="shared" si="9"/>
        <v>803.03618100334756</v>
      </c>
    </row>
    <row r="35" spans="1:26" s="59" customFormat="1" x14ac:dyDescent="0.25">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21.491959432411267</v>
      </c>
      <c r="N35" s="293">
        <f t="shared" si="10"/>
        <v>25.563587678767355</v>
      </c>
      <c r="O35" s="293">
        <f t="shared" si="10"/>
        <v>26.682011829407937</v>
      </c>
      <c r="P35" s="293">
        <f t="shared" si="10"/>
        <v>26.617089590441278</v>
      </c>
      <c r="Q35" s="293">
        <f t="shared" si="10"/>
        <v>26.153079191028329</v>
      </c>
      <c r="R35" s="293">
        <f t="shared" si="10"/>
        <v>24.091085430100271</v>
      </c>
    </row>
    <row r="36" spans="1:26" s="59" customFormat="1" x14ac:dyDescent="0.25">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43.467463585306021</v>
      </c>
      <c r="N36" s="293">
        <f t="shared" si="11"/>
        <v>42.609867929382816</v>
      </c>
      <c r="O36" s="293">
        <f t="shared" si="11"/>
        <v>41.846923622194019</v>
      </c>
      <c r="P36" s="293">
        <f t="shared" si="11"/>
        <v>41.117414572073059</v>
      </c>
      <c r="Q36" s="293">
        <f t="shared" si="11"/>
        <v>40.400622907321022</v>
      </c>
      <c r="R36" s="293">
        <f t="shared" si="11"/>
        <v>0</v>
      </c>
    </row>
    <row r="37" spans="1:26" s="173" customFormat="1" x14ac:dyDescent="0.25">
      <c r="A37" s="169"/>
      <c r="B37" s="170"/>
      <c r="C37" s="171"/>
      <c r="D37" s="172"/>
      <c r="E37" s="173" t="s">
        <v>141</v>
      </c>
      <c r="G37" s="202" t="s">
        <v>88</v>
      </c>
      <c r="J37" s="294">
        <f t="shared" ref="J37:R37" si="12" xml:space="preserve"> IF( J32 = 1, $F31, J34 + J35 - J36)</f>
        <v>0</v>
      </c>
      <c r="K37" s="294">
        <f t="shared" si="12"/>
        <v>0</v>
      </c>
      <c r="L37" s="294">
        <f t="shared" si="12"/>
        <v>885.97074589756835</v>
      </c>
      <c r="M37" s="294">
        <f t="shared" si="12"/>
        <v>863.99524174467354</v>
      </c>
      <c r="N37" s="294">
        <f t="shared" si="12"/>
        <v>846.94896149405804</v>
      </c>
      <c r="O37" s="294">
        <f t="shared" si="12"/>
        <v>831.7840497012719</v>
      </c>
      <c r="P37" s="294">
        <f t="shared" si="12"/>
        <v>817.28372471964019</v>
      </c>
      <c r="Q37" s="294">
        <f t="shared" si="12"/>
        <v>803.03618100334756</v>
      </c>
      <c r="R37" s="294">
        <f t="shared" si="12"/>
        <v>827.12726643344786</v>
      </c>
    </row>
    <row r="39" spans="1:26" s="126" customFormat="1" x14ac:dyDescent="0.25">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885.97074589756835</v>
      </c>
      <c r="N39" s="226">
        <f t="shared" si="13"/>
        <v>863.99524174467354</v>
      </c>
      <c r="O39" s="226">
        <f t="shared" si="13"/>
        <v>846.94896149405804</v>
      </c>
      <c r="P39" s="226">
        <f t="shared" si="13"/>
        <v>831.7840497012719</v>
      </c>
      <c r="Q39" s="226">
        <f t="shared" si="13"/>
        <v>817.28372471964019</v>
      </c>
      <c r="R39" s="226">
        <f t="shared" si="13"/>
        <v>803.03618100334756</v>
      </c>
    </row>
    <row r="40" spans="1:26" s="126" customFormat="1" x14ac:dyDescent="0.25">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21.491959432411267</v>
      </c>
      <c r="N40" s="293">
        <f t="shared" si="14"/>
        <v>25.563587678767355</v>
      </c>
      <c r="O40" s="293">
        <f t="shared" si="14"/>
        <v>26.682011829407937</v>
      </c>
      <c r="P40" s="293">
        <f t="shared" si="14"/>
        <v>26.617089590441278</v>
      </c>
      <c r="Q40" s="293">
        <f t="shared" si="14"/>
        <v>26.153079191028329</v>
      </c>
      <c r="R40" s="293">
        <f t="shared" si="14"/>
        <v>24.091085430100271</v>
      </c>
    </row>
    <row r="41" spans="1:26" s="126" customFormat="1" x14ac:dyDescent="0.25">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885.97074589756835</v>
      </c>
      <c r="M41" s="226">
        <f t="shared" si="15"/>
        <v>863.99524174467354</v>
      </c>
      <c r="N41" s="226">
        <f t="shared" si="15"/>
        <v>846.94896149405804</v>
      </c>
      <c r="O41" s="226">
        <f t="shared" si="15"/>
        <v>831.7840497012719</v>
      </c>
      <c r="P41" s="226">
        <f t="shared" si="15"/>
        <v>817.28372471964019</v>
      </c>
      <c r="Q41" s="226">
        <f t="shared" si="15"/>
        <v>803.03618100334756</v>
      </c>
      <c r="R41" s="226">
        <f t="shared" si="15"/>
        <v>827.12726643344786</v>
      </c>
    </row>
    <row r="42" spans="1:26" s="126" customFormat="1" x14ac:dyDescent="0.25">
      <c r="A42" s="203"/>
      <c r="B42" s="204"/>
      <c r="C42" s="205"/>
      <c r="D42" s="206"/>
      <c r="E42" s="126" t="s">
        <v>142</v>
      </c>
      <c r="G42" s="126" t="s">
        <v>88</v>
      </c>
      <c r="J42" s="226">
        <f t="shared" ref="J42:L42" si="16" xml:space="preserve"> ( (J39+J40) + J41) / 2</f>
        <v>0</v>
      </c>
      <c r="K42" s="226">
        <f t="shared" si="16"/>
        <v>0</v>
      </c>
      <c r="L42" s="226">
        <f t="shared" si="16"/>
        <v>442.98537294878417</v>
      </c>
      <c r="M42" s="226">
        <f xml:space="preserve"> ( (M39+M40) + M41) / 2</f>
        <v>885.72897353732651</v>
      </c>
      <c r="N42" s="226">
        <f t="shared" ref="N42:R42" si="17" xml:space="preserve"> ( (N39+N40) + N41) / 2</f>
        <v>868.25389545874941</v>
      </c>
      <c r="O42" s="226">
        <f t="shared" si="17"/>
        <v>852.70751151236891</v>
      </c>
      <c r="P42" s="226">
        <f t="shared" si="17"/>
        <v>837.84243200567676</v>
      </c>
      <c r="Q42" s="226">
        <f t="shared" si="17"/>
        <v>823.23649245700813</v>
      </c>
      <c r="R42" s="226">
        <f t="shared" si="17"/>
        <v>827.12726643344786</v>
      </c>
    </row>
    <row r="43" spans="1:26" s="126" customFormat="1" x14ac:dyDescent="0.25">
      <c r="A43" s="203"/>
      <c r="B43" s="204"/>
      <c r="C43" s="205"/>
      <c r="D43" s="206"/>
    </row>
    <row r="44" spans="1:26" x14ac:dyDescent="0.25">
      <c r="B44" s="80" t="s">
        <v>143</v>
      </c>
    </row>
    <row r="45" spans="1:26" s="253" customFormat="1" x14ac:dyDescent="0.25">
      <c r="A45" s="249"/>
      <c r="B45" s="250"/>
      <c r="C45" s="251"/>
      <c r="D45" s="252"/>
      <c r="E45" s="253" t="str">
        <f xml:space="preserve"> InpR!E$102</f>
        <v>WACC on RCV - CPI(H) + RPI wedge bf and additions - WN</v>
      </c>
      <c r="F45" s="253">
        <f xml:space="preserve"> InpR!F$102</f>
        <v>0</v>
      </c>
      <c r="G45" s="271" t="str">
        <f xml:space="preserve"> InpR!G$102</f>
        <v>%</v>
      </c>
      <c r="H45" s="253" t="str">
        <f xml:space="preserve"> InpR!I$102</f>
        <v>PR19 Financial model, 'Water Network' sheet row 980</v>
      </c>
      <c r="I45" s="253" t="e">
        <f xml:space="preserve"> InpR!#REF!</f>
        <v>#REF!</v>
      </c>
      <c r="J45" s="253">
        <f xml:space="preserve"> InpR!J$102</f>
        <v>0</v>
      </c>
      <c r="K45" s="253">
        <f xml:space="preserve"> InpR!K$102</f>
        <v>0</v>
      </c>
      <c r="L45" s="253">
        <f xml:space="preserve"> InpR!L$102</f>
        <v>0</v>
      </c>
      <c r="M45" s="253">
        <f xml:space="preserve"> InpR!M$102</f>
        <v>2.2181345335277269E-2</v>
      </c>
      <c r="N45" s="253">
        <f xml:space="preserve"> InpR!N$102</f>
        <v>2.2181345335277269E-2</v>
      </c>
      <c r="O45" s="253">
        <f xml:space="preserve"> InpR!O$102</f>
        <v>2.2181345335277269E-2</v>
      </c>
      <c r="P45" s="253">
        <f xml:space="preserve"> InpR!P$102</f>
        <v>2.2181345335277269E-2</v>
      </c>
      <c r="Q45" s="253">
        <f xml:space="preserve"> InpR!Q$102</f>
        <v>2.2181345335277269E-2</v>
      </c>
      <c r="R45" s="253">
        <f xml:space="preserve"> InpR!R$102</f>
        <v>0</v>
      </c>
    </row>
    <row r="46" spans="1:26" s="126" customFormat="1" x14ac:dyDescent="0.25">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5">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442.98537294878417</v>
      </c>
      <c r="M47" s="225">
        <f t="shared" si="18"/>
        <v>885.72897353732651</v>
      </c>
      <c r="N47" s="225">
        <f t="shared" si="18"/>
        <v>868.25389545874941</v>
      </c>
      <c r="O47" s="225">
        <f t="shared" si="18"/>
        <v>852.70751151236891</v>
      </c>
      <c r="P47" s="225">
        <f t="shared" si="18"/>
        <v>837.84243200567676</v>
      </c>
      <c r="Q47" s="225">
        <f t="shared" si="18"/>
        <v>823.23649245700813</v>
      </c>
      <c r="R47" s="225">
        <f t="shared" si="18"/>
        <v>827.12726643344786</v>
      </c>
      <c r="S47" s="126"/>
      <c r="T47" s="126"/>
      <c r="U47" s="126"/>
      <c r="V47" s="126"/>
      <c r="W47" s="126"/>
      <c r="X47" s="126"/>
      <c r="Y47" s="126"/>
      <c r="Z47" s="126"/>
    </row>
    <row r="48" spans="1:26" s="125" customFormat="1" x14ac:dyDescent="0.25">
      <c r="A48" s="210"/>
      <c r="B48" s="204"/>
      <c r="C48" s="205"/>
      <c r="D48" s="211"/>
      <c r="E48" s="213" t="s">
        <v>144</v>
      </c>
      <c r="G48" s="125" t="s">
        <v>88</v>
      </c>
      <c r="H48" s="225"/>
      <c r="I48" s="225"/>
      <c r="J48" s="225">
        <f t="shared" ref="J48:K48" si="19">J45*J47*J46</f>
        <v>0</v>
      </c>
      <c r="K48" s="225">
        <f t="shared" si="19"/>
        <v>0</v>
      </c>
      <c r="L48" s="225">
        <f>L45*L47*L46</f>
        <v>0</v>
      </c>
      <c r="M48" s="225">
        <f>M45*M47*M46</f>
        <v>19.646660235492103</v>
      </c>
      <c r="N48" s="225">
        <f t="shared" ref="N48:R48" si="20">N45*N47*N46</f>
        <v>19.259039493870247</v>
      </c>
      <c r="O48" s="225">
        <f t="shared" si="20"/>
        <v>18.914199782840772</v>
      </c>
      <c r="P48" s="225">
        <f t="shared" si="20"/>
        <v>18.584472320866482</v>
      </c>
      <c r="Q48" s="225">
        <f t="shared" si="20"/>
        <v>18.26049293179128</v>
      </c>
      <c r="R48" s="225">
        <f t="shared" si="20"/>
        <v>0</v>
      </c>
      <c r="S48" s="126"/>
      <c r="T48" s="126"/>
      <c r="U48" s="126"/>
      <c r="V48" s="126"/>
      <c r="W48" s="126"/>
      <c r="X48" s="126"/>
      <c r="Y48" s="126"/>
      <c r="Z48" s="126"/>
    </row>
    <row r="49" spans="1:26" s="125" customFormat="1" x14ac:dyDescent="0.25">
      <c r="A49" s="210"/>
      <c r="B49" s="204"/>
      <c r="C49" s="205"/>
      <c r="D49" s="211"/>
      <c r="S49" s="126"/>
      <c r="T49" s="126"/>
      <c r="U49" s="126"/>
      <c r="V49" s="126"/>
      <c r="W49" s="126"/>
      <c r="X49" s="126"/>
      <c r="Y49" s="126"/>
      <c r="Z49" s="126"/>
    </row>
    <row r="50" spans="1:26" x14ac:dyDescent="0.25">
      <c r="B50" s="80" t="s">
        <v>145</v>
      </c>
    </row>
    <row r="51" spans="1:26" s="125" customFormat="1" x14ac:dyDescent="0.25">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43.467463585306021</v>
      </c>
      <c r="N51" s="225">
        <f t="shared" si="21"/>
        <v>42.609867929382816</v>
      </c>
      <c r="O51" s="225">
        <f t="shared" si="21"/>
        <v>41.846923622194019</v>
      </c>
      <c r="P51" s="225">
        <f t="shared" si="21"/>
        <v>41.117414572073059</v>
      </c>
      <c r="Q51" s="225">
        <f t="shared" si="21"/>
        <v>40.400622907321022</v>
      </c>
      <c r="R51" s="225">
        <f t="shared" si="21"/>
        <v>0</v>
      </c>
      <c r="S51" s="126"/>
      <c r="T51" s="126"/>
      <c r="U51" s="126"/>
      <c r="V51" s="126"/>
      <c r="W51" s="126"/>
      <c r="X51" s="126"/>
      <c r="Y51" s="126"/>
      <c r="Z51" s="126"/>
    </row>
    <row r="52" spans="1:26" s="125" customFormat="1" x14ac:dyDescent="0.25">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19.646660235492103</v>
      </c>
      <c r="N52" s="225">
        <f t="shared" si="22"/>
        <v>19.259039493870247</v>
      </c>
      <c r="O52" s="225">
        <f t="shared" si="22"/>
        <v>18.914199782840772</v>
      </c>
      <c r="P52" s="225">
        <f t="shared" si="22"/>
        <v>18.584472320866482</v>
      </c>
      <c r="Q52" s="225">
        <f t="shared" si="22"/>
        <v>18.26049293179128</v>
      </c>
      <c r="R52" s="225">
        <f t="shared" si="22"/>
        <v>0</v>
      </c>
      <c r="S52" s="126"/>
      <c r="T52" s="126"/>
      <c r="U52" s="126"/>
      <c r="V52" s="126"/>
      <c r="W52" s="126"/>
      <c r="X52" s="126"/>
      <c r="Y52" s="126"/>
      <c r="Z52" s="126"/>
    </row>
    <row r="53" spans="1:26" s="125" customFormat="1" x14ac:dyDescent="0.25">
      <c r="A53" s="210"/>
      <c r="B53" s="204"/>
      <c r="C53" s="205"/>
      <c r="D53" s="211"/>
      <c r="E53" s="213" t="s">
        <v>146</v>
      </c>
      <c r="G53" s="125" t="str">
        <f xml:space="preserve"> G$48</f>
        <v>£m</v>
      </c>
      <c r="H53" s="225">
        <f>SUM(J53:R53)</f>
        <v>304.10715738113782</v>
      </c>
      <c r="I53" s="225"/>
      <c r="J53" s="225">
        <f t="shared" ref="J53:R53" si="23">SUM(J51:J52)</f>
        <v>0</v>
      </c>
      <c r="K53" s="225">
        <f t="shared" si="23"/>
        <v>0</v>
      </c>
      <c r="L53" s="225">
        <f>SUM(L51:L52)</f>
        <v>0</v>
      </c>
      <c r="M53" s="226">
        <f t="shared" si="23"/>
        <v>63.114123820798127</v>
      </c>
      <c r="N53" s="226">
        <f t="shared" si="23"/>
        <v>61.868907423253063</v>
      </c>
      <c r="O53" s="225">
        <f t="shared" si="23"/>
        <v>60.761123405034795</v>
      </c>
      <c r="P53" s="225">
        <f t="shared" si="23"/>
        <v>59.701886892939541</v>
      </c>
      <c r="Q53" s="225">
        <f t="shared" si="23"/>
        <v>58.661115839112298</v>
      </c>
      <c r="R53" s="225">
        <f t="shared" si="23"/>
        <v>0</v>
      </c>
      <c r="S53" s="126"/>
      <c r="T53" s="126"/>
      <c r="U53" s="126"/>
      <c r="V53" s="126"/>
      <c r="W53" s="126"/>
      <c r="X53" s="126"/>
      <c r="Y53" s="126"/>
      <c r="Z53" s="126"/>
    </row>
    <row r="55" spans="1:26" x14ac:dyDescent="0.25">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25">
      <c r="M56" s="218"/>
      <c r="N56" s="218"/>
      <c r="O56" s="218"/>
      <c r="P56" s="218"/>
      <c r="Q56" s="218"/>
    </row>
    <row r="57" spans="1:26" x14ac:dyDescent="0.25">
      <c r="C57" s="144" t="s">
        <v>260</v>
      </c>
      <c r="M57" s="218"/>
      <c r="N57" s="218"/>
      <c r="O57" s="218"/>
      <c r="P57" s="218"/>
      <c r="Q57" s="218"/>
    </row>
    <row r="58" spans="1:26" x14ac:dyDescent="0.25">
      <c r="C58" s="144" t="s">
        <v>261</v>
      </c>
      <c r="M58" s="218"/>
      <c r="N58" s="218"/>
      <c r="O58" s="218"/>
      <c r="P58" s="218"/>
      <c r="Q58" s="218"/>
    </row>
    <row r="59" spans="1:26" x14ac:dyDescent="0.25">
      <c r="C59" s="144" t="s">
        <v>262</v>
      </c>
      <c r="M59" s="218"/>
      <c r="N59" s="218"/>
      <c r="O59" s="218"/>
      <c r="P59" s="218"/>
      <c r="Q59" s="218"/>
    </row>
    <row r="60" spans="1:26" x14ac:dyDescent="0.25">
      <c r="M60" s="218"/>
      <c r="N60" s="218"/>
      <c r="O60" s="218"/>
      <c r="P60" s="218"/>
      <c r="Q60" s="218"/>
    </row>
    <row r="61" spans="1:26" s="125" customFormat="1" x14ac:dyDescent="0.25">
      <c r="A61" s="210"/>
      <c r="B61" s="204"/>
      <c r="C61" s="205"/>
      <c r="D61" s="211"/>
      <c r="E61" s="213" t="s">
        <v>148</v>
      </c>
      <c r="G61" s="125" t="s">
        <v>88</v>
      </c>
      <c r="J61" s="225">
        <f t="shared" ref="J61:R61" si="24" xml:space="preserve"> J53</f>
        <v>0</v>
      </c>
      <c r="K61" s="225">
        <f t="shared" si="24"/>
        <v>0</v>
      </c>
      <c r="L61" s="225">
        <f t="shared" si="24"/>
        <v>0</v>
      </c>
      <c r="M61" s="225">
        <f t="shared" si="24"/>
        <v>63.114123820798127</v>
      </c>
      <c r="N61" s="225">
        <f t="shared" si="24"/>
        <v>61.868907423253063</v>
      </c>
      <c r="O61" s="225">
        <f t="shared" si="24"/>
        <v>60.761123405034795</v>
      </c>
      <c r="P61" s="225">
        <f t="shared" si="24"/>
        <v>59.701886892939541</v>
      </c>
      <c r="Q61" s="225">
        <f t="shared" si="24"/>
        <v>58.661115839112298</v>
      </c>
      <c r="R61" s="225">
        <f t="shared" si="24"/>
        <v>0</v>
      </c>
      <c r="S61" s="126"/>
      <c r="T61" s="126"/>
      <c r="U61" s="126"/>
      <c r="V61" s="126"/>
      <c r="W61" s="126"/>
      <c r="X61" s="126"/>
      <c r="Y61" s="126"/>
      <c r="Z61" s="126"/>
    </row>
    <row r="62" spans="1:26" x14ac:dyDescent="0.25">
      <c r="L62" s="299"/>
      <c r="M62" s="341"/>
      <c r="N62" s="341"/>
      <c r="O62" s="341"/>
      <c r="P62" s="341"/>
      <c r="Q62" s="341"/>
      <c r="R62" s="299"/>
    </row>
    <row r="63" spans="1:26" x14ac:dyDescent="0.25">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25">
      <c r="C65" s="144" t="s">
        <v>263</v>
      </c>
    </row>
    <row r="67" spans="1:16383" x14ac:dyDescent="0.25">
      <c r="B67" s="80" t="s">
        <v>149</v>
      </c>
    </row>
    <row r="68" spans="1:16383" s="253" customFormat="1" x14ac:dyDescent="0.25">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5">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9.9975945132209088E-3</v>
      </c>
      <c r="Q69" s="253">
        <f>Index!Q$135</f>
        <v>9.9706606165028688E-3</v>
      </c>
      <c r="R69" s="253">
        <f>Index!R$135</f>
        <v>9.9999999999997868E-3</v>
      </c>
    </row>
    <row r="70" spans="1:16383" s="213" customFormat="1" x14ac:dyDescent="0.25">
      <c r="A70" s="214"/>
      <c r="B70" s="215"/>
      <c r="C70" s="216"/>
      <c r="D70" s="217"/>
      <c r="E70" s="213" t="s">
        <v>150</v>
      </c>
      <c r="J70" s="213">
        <f t="shared" ref="J70" si="25">SUM(J68:J69)</f>
        <v>0</v>
      </c>
      <c r="K70" s="213">
        <f t="shared" ref="K70" si="26">SUM(K68:K69)</f>
        <v>-2.1269790500559882E-2</v>
      </c>
      <c r="L70" s="213">
        <f t="shared" ref="L70" si="27">SUM(L68:L69)</f>
        <v>2.8804001067783025E-2</v>
      </c>
      <c r="M70" s="213">
        <f>SUM(M68:M69)</f>
        <v>2.0509379279486817E-2</v>
      </c>
      <c r="N70" s="213">
        <f t="shared" ref="N70" si="28">SUM(N68:N69)</f>
        <v>4.1066834957910858E-2</v>
      </c>
      <c r="O70" s="213">
        <f t="shared" ref="O70" si="29">SUM(O68:O69)</f>
        <v>6.1749369291973721E-2</v>
      </c>
      <c r="P70" s="213">
        <f t="shared" ref="P70" si="30">SUM(P68:P69)</f>
        <v>3.0997594513221483E-2</v>
      </c>
      <c r="Q70" s="213">
        <f t="shared" ref="Q70" si="31">SUM(Q68:Q69)</f>
        <v>3.0970660616504109E-2</v>
      </c>
      <c r="R70" s="213">
        <f t="shared" ref="R70" si="32">SUM(R68:R69)</f>
        <v>2.9999999999998916E-2</v>
      </c>
      <c r="S70" s="218"/>
      <c r="T70" s="218"/>
      <c r="U70" s="218"/>
      <c r="V70" s="218"/>
      <c r="W70" s="218"/>
      <c r="X70" s="218"/>
      <c r="Y70" s="218"/>
      <c r="Z70" s="218"/>
    </row>
    <row r="71" spans="1:16383" s="213" customFormat="1" x14ac:dyDescent="0.25">
      <c r="A71" s="214"/>
      <c r="B71" s="215"/>
      <c r="C71" s="216"/>
      <c r="D71" s="217"/>
      <c r="S71" s="218"/>
      <c r="T71" s="218"/>
      <c r="U71" s="218"/>
      <c r="V71" s="218"/>
      <c r="W71" s="218"/>
      <c r="X71" s="218"/>
      <c r="Y71" s="218"/>
      <c r="Z71" s="218"/>
    </row>
    <row r="72" spans="1:16383" x14ac:dyDescent="0.25">
      <c r="B72" s="80" t="s">
        <v>151</v>
      </c>
    </row>
    <row r="73" spans="1:16383" s="199" customFormat="1" x14ac:dyDescent="0.25">
      <c r="A73" s="194"/>
      <c r="B73" s="195"/>
      <c r="C73" s="196"/>
      <c r="D73" s="197"/>
      <c r="E73" s="184" t="str">
        <f t="shared" ref="E73:R73" si="33" xml:space="preserve"> E$85</f>
        <v>Actual Nominal RCV balance BEG</v>
      </c>
      <c r="F73" s="292">
        <f t="shared" si="33"/>
        <v>0</v>
      </c>
      <c r="G73" s="292" t="str">
        <f t="shared" si="33"/>
        <v>£m</v>
      </c>
      <c r="H73" s="292">
        <f t="shared" si="33"/>
        <v>0</v>
      </c>
      <c r="I73" s="292">
        <f t="shared" si="33"/>
        <v>0</v>
      </c>
      <c r="J73" s="292">
        <f t="shared" si="33"/>
        <v>0</v>
      </c>
      <c r="K73" s="292">
        <f t="shared" si="33"/>
        <v>0</v>
      </c>
      <c r="L73" s="292">
        <f t="shared" si="33"/>
        <v>0</v>
      </c>
      <c r="M73" s="292">
        <f t="shared" si="33"/>
        <v>885.97074589756835</v>
      </c>
      <c r="N73" s="292">
        <f t="shared" si="33"/>
        <v>860.8330802154328</v>
      </c>
      <c r="O73" s="292">
        <f t="shared" si="33"/>
        <v>853.2575197521212</v>
      </c>
      <c r="P73" s="292">
        <f t="shared" si="33"/>
        <v>862.55083759865101</v>
      </c>
      <c r="Q73" s="292">
        <f t="shared" si="33"/>
        <v>846.690951235385</v>
      </c>
      <c r="R73" s="292">
        <f t="shared" si="33"/>
        <v>831.10097127810275</v>
      </c>
    </row>
    <row r="74" spans="1:16383" s="213" customFormat="1" x14ac:dyDescent="0.25">
      <c r="A74" s="214"/>
      <c r="B74" s="215"/>
      <c r="C74" s="216"/>
      <c r="D74" s="217"/>
      <c r="E74" s="213" t="str">
        <f t="shared" ref="E74:R74" si="34" xml:space="preserve"> E$70</f>
        <v>Actual Indexation percentage</v>
      </c>
      <c r="F74" s="213">
        <f t="shared" si="34"/>
        <v>0</v>
      </c>
      <c r="G74" s="213">
        <f t="shared" si="34"/>
        <v>0</v>
      </c>
      <c r="H74" s="213">
        <f t="shared" si="34"/>
        <v>0</v>
      </c>
      <c r="I74" s="213">
        <f t="shared" si="34"/>
        <v>0</v>
      </c>
      <c r="J74" s="213">
        <f t="shared" si="34"/>
        <v>0</v>
      </c>
      <c r="K74" s="213">
        <f t="shared" si="34"/>
        <v>-2.1269790500559882E-2</v>
      </c>
      <c r="L74" s="213">
        <f t="shared" si="34"/>
        <v>2.8804001067783025E-2</v>
      </c>
      <c r="M74" s="213">
        <f t="shared" si="34"/>
        <v>2.0509379279486817E-2</v>
      </c>
      <c r="N74" s="213">
        <f t="shared" si="34"/>
        <v>4.1066834957910858E-2</v>
      </c>
      <c r="O74" s="213">
        <f t="shared" si="34"/>
        <v>6.1749369291973721E-2</v>
      </c>
      <c r="P74" s="213">
        <f t="shared" si="34"/>
        <v>3.0997594513221483E-2</v>
      </c>
      <c r="Q74" s="213">
        <f t="shared" si="34"/>
        <v>3.0970660616504109E-2</v>
      </c>
      <c r="R74" s="213">
        <f t="shared" si="34"/>
        <v>2.9999999999998916E-2</v>
      </c>
      <c r="S74" s="218"/>
      <c r="T74" s="218"/>
      <c r="U74" s="218"/>
      <c r="V74" s="218"/>
      <c r="W74" s="218"/>
      <c r="X74" s="218"/>
      <c r="Y74" s="218"/>
      <c r="Z74" s="218"/>
    </row>
    <row r="75" spans="1:16383" x14ac:dyDescent="0.25">
      <c r="E75" s="56" t="s">
        <v>152</v>
      </c>
      <c r="G75" s="201" t="s">
        <v>88</v>
      </c>
      <c r="J75" s="225">
        <f t="shared" ref="J75:L75" si="35">J73*J74</f>
        <v>0</v>
      </c>
      <c r="K75" s="225">
        <f t="shared" si="35"/>
        <v>0</v>
      </c>
      <c r="L75" s="225">
        <f t="shared" si="35"/>
        <v>0</v>
      </c>
      <c r="M75" s="225">
        <f>M73*M74</f>
        <v>18.170710058143069</v>
      </c>
      <c r="N75" s="225">
        <f t="shared" ref="N75:R75" si="36">N73*N74</f>
        <v>35.351690031517215</v>
      </c>
      <c r="O75" s="225">
        <f t="shared" si="36"/>
        <v>52.688113688327292</v>
      </c>
      <c r="P75" s="225">
        <f t="shared" si="36"/>
        <v>26.737001110922538</v>
      </c>
      <c r="Q75" s="225">
        <f t="shared" si="36"/>
        <v>26.22257809777614</v>
      </c>
      <c r="R75" s="225">
        <f t="shared" si="36"/>
        <v>24.933029138342182</v>
      </c>
    </row>
    <row r="77" spans="1:16383" s="253" customFormat="1" x14ac:dyDescent="0.25">
      <c r="A77" s="249"/>
      <c r="B77" s="250"/>
      <c r="C77" s="251"/>
      <c r="D77" s="252"/>
      <c r="E77" s="49" t="str">
        <f xml:space="preserve"> InpR!E$95</f>
        <v>Run-off rate - CPI(H) + RPI wedge - active - WN</v>
      </c>
      <c r="F77" s="253">
        <f xml:space="preserve"> InpR!F$95</f>
        <v>0</v>
      </c>
      <c r="G77" s="271" t="str">
        <f xml:space="preserve"> InpR!G$95</f>
        <v>%</v>
      </c>
      <c r="H77" s="253" t="str">
        <f xml:space="preserve"> InpR!I$95</f>
        <v>PR19 Financial model, 'F_OutputsMaster' sheet row 956, PR19FM2093POST</v>
      </c>
      <c r="I77" s="253" t="e">
        <f xml:space="preserve"> InpR!#REF!</f>
        <v>#REF!</v>
      </c>
      <c r="J77" s="253">
        <f xml:space="preserve"> InpR!J$95</f>
        <v>0</v>
      </c>
      <c r="K77" s="253">
        <f xml:space="preserve"> InpR!K$95</f>
        <v>0</v>
      </c>
      <c r="L77" s="253">
        <f xml:space="preserve"> InpR!L$95</f>
        <v>0</v>
      </c>
      <c r="M77" s="253">
        <f xml:space="preserve"> InpR!M$95</f>
        <v>4.7899999999999998E-2</v>
      </c>
      <c r="N77" s="253">
        <f xml:space="preserve"> InpR!N$95</f>
        <v>4.7899999999999998E-2</v>
      </c>
      <c r="O77" s="253">
        <f xml:space="preserve"> InpR!O$95</f>
        <v>4.7899999999999998E-2</v>
      </c>
      <c r="P77" s="253">
        <f xml:space="preserve"> InpR!P$95</f>
        <v>4.7899999999999998E-2</v>
      </c>
      <c r="Q77" s="253">
        <f xml:space="preserve"> InpR!Q$95</f>
        <v>4.7899999999999998E-2</v>
      </c>
      <c r="R77" s="253">
        <f xml:space="preserve"> InpR!R$95</f>
        <v>0</v>
      </c>
    </row>
    <row r="78" spans="1:16383" s="199" customFormat="1" x14ac:dyDescent="0.25">
      <c r="A78" s="194"/>
      <c r="B78" s="195"/>
      <c r="C78" s="196"/>
      <c r="D78" s="197"/>
      <c r="E78" s="184" t="str">
        <f t="shared" ref="E78:R78" si="37" xml:space="preserve"> E$85</f>
        <v>Actual Nominal RCV balance BEG</v>
      </c>
      <c r="F78" s="292">
        <f t="shared" si="37"/>
        <v>0</v>
      </c>
      <c r="G78" s="292" t="str">
        <f t="shared" si="37"/>
        <v>£m</v>
      </c>
      <c r="H78" s="292">
        <f t="shared" si="37"/>
        <v>0</v>
      </c>
      <c r="I78" s="292">
        <f t="shared" si="37"/>
        <v>0</v>
      </c>
      <c r="J78" s="292">
        <f t="shared" si="37"/>
        <v>0</v>
      </c>
      <c r="K78" s="292">
        <f t="shared" si="37"/>
        <v>0</v>
      </c>
      <c r="L78" s="292">
        <f t="shared" si="37"/>
        <v>0</v>
      </c>
      <c r="M78" s="292">
        <f t="shared" si="37"/>
        <v>885.97074589756835</v>
      </c>
      <c r="N78" s="292">
        <f t="shared" si="37"/>
        <v>860.8330802154328</v>
      </c>
      <c r="O78" s="292">
        <f t="shared" si="37"/>
        <v>853.2575197521212</v>
      </c>
      <c r="P78" s="292">
        <f t="shared" si="37"/>
        <v>862.55083759865101</v>
      </c>
      <c r="Q78" s="292">
        <f t="shared" si="37"/>
        <v>846.690951235385</v>
      </c>
      <c r="R78" s="292">
        <f t="shared" si="37"/>
        <v>831.10097127810275</v>
      </c>
    </row>
    <row r="79" spans="1:16383" x14ac:dyDescent="0.25">
      <c r="E79" s="56" t="str">
        <f t="shared" ref="E79:R79" si="38" xml:space="preserve"> E$75</f>
        <v>Actual RCV indexation</v>
      </c>
      <c r="F79" s="225">
        <f t="shared" si="38"/>
        <v>0</v>
      </c>
      <c r="G79" s="225" t="str">
        <f t="shared" si="38"/>
        <v>£m</v>
      </c>
      <c r="H79" s="225">
        <f t="shared" si="38"/>
        <v>0</v>
      </c>
      <c r="I79" s="225">
        <f t="shared" si="38"/>
        <v>0</v>
      </c>
      <c r="J79" s="225">
        <f t="shared" si="38"/>
        <v>0</v>
      </c>
      <c r="K79" s="225">
        <f t="shared" si="38"/>
        <v>0</v>
      </c>
      <c r="L79" s="225">
        <f t="shared" si="38"/>
        <v>0</v>
      </c>
      <c r="M79" s="225">
        <f t="shared" si="38"/>
        <v>18.170710058143069</v>
      </c>
      <c r="N79" s="225">
        <f t="shared" si="38"/>
        <v>35.351690031517215</v>
      </c>
      <c r="O79" s="225">
        <f t="shared" si="38"/>
        <v>52.688113688327292</v>
      </c>
      <c r="P79" s="225">
        <f t="shared" si="38"/>
        <v>26.737001110922538</v>
      </c>
      <c r="Q79" s="225">
        <f t="shared" si="38"/>
        <v>26.22257809777614</v>
      </c>
      <c r="R79" s="225">
        <f t="shared" si="38"/>
        <v>24.933029138342182</v>
      </c>
    </row>
    <row r="80" spans="1:16383" x14ac:dyDescent="0.25">
      <c r="E80" s="56" t="s">
        <v>153</v>
      </c>
      <c r="F80" s="295"/>
      <c r="G80" s="295" t="s">
        <v>88</v>
      </c>
      <c r="H80" s="295"/>
      <c r="I80" s="295"/>
      <c r="J80" s="225">
        <f t="shared" ref="J80" si="39" xml:space="preserve"> (J78+J79) * J77</f>
        <v>0</v>
      </c>
      <c r="K80" s="225">
        <f t="shared" ref="K80" si="40" xml:space="preserve"> (K78+K79) * K77</f>
        <v>0</v>
      </c>
      <c r="L80" s="225">
        <f t="shared" ref="L80:R80" si="41" xml:space="preserve"> (L78+L79) * L77</f>
        <v>0</v>
      </c>
      <c r="M80" s="225">
        <f t="shared" si="41"/>
        <v>43.308375740278578</v>
      </c>
      <c r="N80" s="225">
        <f xml:space="preserve"> (N78+N79) * N77</f>
        <v>42.927250494828904</v>
      </c>
      <c r="O80" s="225">
        <f t="shared" si="41"/>
        <v>43.394795841797482</v>
      </c>
      <c r="P80" s="225">
        <f t="shared" si="41"/>
        <v>42.59688747418857</v>
      </c>
      <c r="Q80" s="225">
        <f t="shared" si="41"/>
        <v>41.812558055058417</v>
      </c>
      <c r="R80" s="225">
        <f t="shared" si="41"/>
        <v>0</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5">
      <c r="E81" s="304"/>
      <c r="F81" s="304"/>
      <c r="G81" s="304"/>
      <c r="H81" s="304"/>
    </row>
    <row r="82" spans="1:26" s="242" customFormat="1" x14ac:dyDescent="0.25">
      <c r="A82" s="238"/>
      <c r="B82" s="239"/>
      <c r="C82" s="240"/>
      <c r="D82" s="241"/>
      <c r="E82" s="302" t="str">
        <f>InpR!$E$88</f>
        <v>RCV - CPI(H) + RPI wedge initial balance - nominal - WN</v>
      </c>
      <c r="F82" s="302">
        <f>InpR!$F$88</f>
        <v>885.97074589756835</v>
      </c>
      <c r="G82" s="302" t="str">
        <f>InpR!$G$88</f>
        <v>£m</v>
      </c>
      <c r="H82" s="303"/>
    </row>
    <row r="83" spans="1:26" s="49" customFormat="1" x14ac:dyDescent="0.25">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5">
      <c r="A84" s="67"/>
      <c r="B84" s="78"/>
      <c r="C84" s="142"/>
      <c r="D84" s="72"/>
      <c r="S84" s="59"/>
      <c r="T84" s="59"/>
      <c r="U84" s="59"/>
      <c r="V84" s="59"/>
      <c r="W84" s="59"/>
      <c r="X84" s="59"/>
      <c r="Y84" s="59"/>
      <c r="Z84" s="59"/>
    </row>
    <row r="85" spans="1:26" s="59" customFormat="1" x14ac:dyDescent="0.25">
      <c r="A85" s="66"/>
      <c r="B85" s="70"/>
      <c r="C85" s="145"/>
      <c r="D85" s="75"/>
      <c r="E85" s="56" t="s">
        <v>154</v>
      </c>
      <c r="G85" s="201" t="s">
        <v>88</v>
      </c>
      <c r="J85" s="293">
        <f t="shared" ref="J85" si="42" xml:space="preserve"> I88</f>
        <v>0</v>
      </c>
      <c r="K85" s="293">
        <f t="shared" ref="K85" si="43" xml:space="preserve"> J88</f>
        <v>0</v>
      </c>
      <c r="L85" s="293">
        <f t="shared" ref="L85" si="44" xml:space="preserve"> K88</f>
        <v>0</v>
      </c>
      <c r="M85" s="293">
        <f t="shared" ref="M85" si="45" xml:space="preserve"> L88</f>
        <v>885.97074589756835</v>
      </c>
      <c r="N85" s="293">
        <f t="shared" ref="N85" si="46" xml:space="preserve"> M88</f>
        <v>860.8330802154328</v>
      </c>
      <c r="O85" s="293">
        <f t="shared" ref="O85" si="47" xml:space="preserve"> N88</f>
        <v>853.2575197521212</v>
      </c>
      <c r="P85" s="293">
        <f t="shared" ref="P85" si="48" xml:space="preserve"> O88</f>
        <v>862.55083759865101</v>
      </c>
      <c r="Q85" s="293">
        <f t="shared" ref="Q85" si="49" xml:space="preserve"> P88</f>
        <v>846.690951235385</v>
      </c>
      <c r="R85" s="293">
        <f t="shared" ref="R85" si="50" xml:space="preserve"> Q88</f>
        <v>831.10097127810275</v>
      </c>
    </row>
    <row r="86" spans="1:26" s="59" customFormat="1" x14ac:dyDescent="0.25">
      <c r="A86" s="66"/>
      <c r="B86" s="70"/>
      <c r="C86" s="145"/>
      <c r="D86" s="75" t="s">
        <v>139</v>
      </c>
      <c r="E86" s="56" t="str">
        <f t="shared" ref="E86:R86" si="51" xml:space="preserve"> E$75</f>
        <v>Actual RCV indexation</v>
      </c>
      <c r="F86" s="293">
        <f t="shared" si="51"/>
        <v>0</v>
      </c>
      <c r="G86" s="201" t="str">
        <f t="shared" si="51"/>
        <v>£m</v>
      </c>
      <c r="H86" s="293">
        <f t="shared" si="51"/>
        <v>0</v>
      </c>
      <c r="I86" s="201">
        <f t="shared" si="51"/>
        <v>0</v>
      </c>
      <c r="J86" s="293">
        <f t="shared" si="51"/>
        <v>0</v>
      </c>
      <c r="K86" s="293">
        <f t="shared" si="51"/>
        <v>0</v>
      </c>
      <c r="L86" s="293">
        <f t="shared" si="51"/>
        <v>0</v>
      </c>
      <c r="M86" s="293">
        <f t="shared" si="51"/>
        <v>18.170710058143069</v>
      </c>
      <c r="N86" s="293">
        <f t="shared" si="51"/>
        <v>35.351690031517215</v>
      </c>
      <c r="O86" s="293">
        <f t="shared" si="51"/>
        <v>52.688113688327292</v>
      </c>
      <c r="P86" s="293">
        <f t="shared" si="51"/>
        <v>26.737001110922538</v>
      </c>
      <c r="Q86" s="293">
        <f t="shared" si="51"/>
        <v>26.22257809777614</v>
      </c>
      <c r="R86" s="293">
        <f t="shared" si="51"/>
        <v>24.933029138342182</v>
      </c>
    </row>
    <row r="87" spans="1:26" s="59" customFormat="1" x14ac:dyDescent="0.25">
      <c r="A87" s="66"/>
      <c r="B87" s="70"/>
      <c r="C87" s="145"/>
      <c r="D87" s="75" t="s">
        <v>140</v>
      </c>
      <c r="E87" s="56" t="str">
        <f t="shared" ref="E87:R87" si="52" xml:space="preserve"> E$80</f>
        <v>RCV run-off company should have received</v>
      </c>
      <c r="F87" s="293">
        <f t="shared" si="52"/>
        <v>0</v>
      </c>
      <c r="G87" s="201" t="str">
        <f t="shared" si="52"/>
        <v>£m</v>
      </c>
      <c r="H87" s="293">
        <f t="shared" si="52"/>
        <v>0</v>
      </c>
      <c r="I87" s="201">
        <f t="shared" si="52"/>
        <v>0</v>
      </c>
      <c r="J87" s="293">
        <f t="shared" si="52"/>
        <v>0</v>
      </c>
      <c r="K87" s="293">
        <f t="shared" si="52"/>
        <v>0</v>
      </c>
      <c r="L87" s="293">
        <f t="shared" si="52"/>
        <v>0</v>
      </c>
      <c r="M87" s="293">
        <f t="shared" si="52"/>
        <v>43.308375740278578</v>
      </c>
      <c r="N87" s="293">
        <f t="shared" si="52"/>
        <v>42.927250494828904</v>
      </c>
      <c r="O87" s="293">
        <f t="shared" si="52"/>
        <v>43.394795841797482</v>
      </c>
      <c r="P87" s="293">
        <f t="shared" si="52"/>
        <v>42.59688747418857</v>
      </c>
      <c r="Q87" s="293">
        <f t="shared" si="52"/>
        <v>41.812558055058417</v>
      </c>
      <c r="R87" s="293">
        <f t="shared" si="52"/>
        <v>0</v>
      </c>
    </row>
    <row r="88" spans="1:26" s="173" customFormat="1" x14ac:dyDescent="0.25">
      <c r="A88" s="169"/>
      <c r="B88" s="170"/>
      <c r="C88" s="171"/>
      <c r="D88" s="172"/>
      <c r="E88" s="173" t="s">
        <v>155</v>
      </c>
      <c r="G88" s="202" t="s">
        <v>88</v>
      </c>
      <c r="J88" s="294">
        <f t="shared" ref="J88:R88" si="53" xml:space="preserve"> IF( J83 = 1, $F82, J85 + J86 - J87)</f>
        <v>0</v>
      </c>
      <c r="K88" s="294">
        <f t="shared" si="53"/>
        <v>0</v>
      </c>
      <c r="L88" s="294">
        <f t="shared" si="53"/>
        <v>885.97074589756835</v>
      </c>
      <c r="M88" s="294">
        <f t="shared" si="53"/>
        <v>860.8330802154328</v>
      </c>
      <c r="N88" s="294">
        <f t="shared" si="53"/>
        <v>853.2575197521212</v>
      </c>
      <c r="O88" s="294">
        <f t="shared" si="53"/>
        <v>862.55083759865101</v>
      </c>
      <c r="P88" s="294">
        <f t="shared" si="53"/>
        <v>846.690951235385</v>
      </c>
      <c r="Q88" s="294">
        <f t="shared" si="53"/>
        <v>831.10097127810275</v>
      </c>
      <c r="R88" s="294">
        <f t="shared" si="53"/>
        <v>856.03400041644488</v>
      </c>
    </row>
    <row r="90" spans="1:26" s="126" customFormat="1" x14ac:dyDescent="0.25">
      <c r="A90" s="203"/>
      <c r="B90" s="204"/>
      <c r="C90" s="205"/>
      <c r="D90" s="206"/>
      <c r="E90" s="56" t="str">
        <f t="shared" ref="E90:R90" si="54" xml:space="preserve"> E$85</f>
        <v>Actual Nominal RCV balance BEG</v>
      </c>
      <c r="F90" s="226">
        <f t="shared" si="54"/>
        <v>0</v>
      </c>
      <c r="G90" s="126" t="str">
        <f t="shared" si="54"/>
        <v>£m</v>
      </c>
      <c r="H90" s="226">
        <f t="shared" si="54"/>
        <v>0</v>
      </c>
      <c r="I90" s="226">
        <f t="shared" si="54"/>
        <v>0</v>
      </c>
      <c r="J90" s="226">
        <f t="shared" si="54"/>
        <v>0</v>
      </c>
      <c r="K90" s="226">
        <f t="shared" si="54"/>
        <v>0</v>
      </c>
      <c r="L90" s="226">
        <f t="shared" si="54"/>
        <v>0</v>
      </c>
      <c r="M90" s="226">
        <f t="shared" si="54"/>
        <v>885.97074589756835</v>
      </c>
      <c r="N90" s="226">
        <f t="shared" si="54"/>
        <v>860.8330802154328</v>
      </c>
      <c r="O90" s="226">
        <f t="shared" si="54"/>
        <v>853.2575197521212</v>
      </c>
      <c r="P90" s="226">
        <f t="shared" si="54"/>
        <v>862.55083759865101</v>
      </c>
      <c r="Q90" s="226">
        <f t="shared" si="54"/>
        <v>846.690951235385</v>
      </c>
      <c r="R90" s="226">
        <f t="shared" si="54"/>
        <v>831.10097127810275</v>
      </c>
    </row>
    <row r="91" spans="1:26" s="126" customFormat="1" x14ac:dyDescent="0.25">
      <c r="A91" s="203"/>
      <c r="B91" s="204"/>
      <c r="C91" s="205"/>
      <c r="D91" s="206"/>
      <c r="E91" s="56" t="str">
        <f t="shared" ref="E91:R91" si="55" xml:space="preserve"> E$86</f>
        <v>Actual RCV indexation</v>
      </c>
      <c r="F91" s="293">
        <f t="shared" si="55"/>
        <v>0</v>
      </c>
      <c r="G91" s="209" t="str">
        <f t="shared" si="55"/>
        <v>£m</v>
      </c>
      <c r="H91" s="293">
        <f t="shared" si="55"/>
        <v>0</v>
      </c>
      <c r="I91" s="293">
        <f t="shared" si="55"/>
        <v>0</v>
      </c>
      <c r="J91" s="293">
        <f t="shared" si="55"/>
        <v>0</v>
      </c>
      <c r="K91" s="293">
        <f t="shared" si="55"/>
        <v>0</v>
      </c>
      <c r="L91" s="293">
        <f t="shared" si="55"/>
        <v>0</v>
      </c>
      <c r="M91" s="293">
        <f t="shared" si="55"/>
        <v>18.170710058143069</v>
      </c>
      <c r="N91" s="293">
        <f t="shared" si="55"/>
        <v>35.351690031517215</v>
      </c>
      <c r="O91" s="293">
        <f t="shared" si="55"/>
        <v>52.688113688327292</v>
      </c>
      <c r="P91" s="293">
        <f t="shared" si="55"/>
        <v>26.737001110922538</v>
      </c>
      <c r="Q91" s="293">
        <f t="shared" si="55"/>
        <v>26.22257809777614</v>
      </c>
      <c r="R91" s="293">
        <f t="shared" si="55"/>
        <v>24.933029138342182</v>
      </c>
    </row>
    <row r="92" spans="1:26" s="126" customFormat="1" x14ac:dyDescent="0.25">
      <c r="A92" s="203"/>
      <c r="B92" s="204"/>
      <c r="C92" s="205"/>
      <c r="D92" s="206"/>
      <c r="E92" s="56" t="str">
        <f t="shared" ref="E92:R92" si="56" xml:space="preserve"> E$88</f>
        <v>Actual Nominal RCV balance END</v>
      </c>
      <c r="F92" s="226">
        <f t="shared" si="56"/>
        <v>0</v>
      </c>
      <c r="G92" s="126" t="str">
        <f t="shared" si="56"/>
        <v>£m</v>
      </c>
      <c r="H92" s="226">
        <f t="shared" si="56"/>
        <v>0</v>
      </c>
      <c r="I92" s="226">
        <f t="shared" si="56"/>
        <v>0</v>
      </c>
      <c r="J92" s="226">
        <f t="shared" si="56"/>
        <v>0</v>
      </c>
      <c r="K92" s="226">
        <f t="shared" si="56"/>
        <v>0</v>
      </c>
      <c r="L92" s="226">
        <f t="shared" si="56"/>
        <v>885.97074589756835</v>
      </c>
      <c r="M92" s="226">
        <f t="shared" si="56"/>
        <v>860.8330802154328</v>
      </c>
      <c r="N92" s="226">
        <f t="shared" si="56"/>
        <v>853.2575197521212</v>
      </c>
      <c r="O92" s="226">
        <f t="shared" si="56"/>
        <v>862.55083759865101</v>
      </c>
      <c r="P92" s="226">
        <f t="shared" si="56"/>
        <v>846.690951235385</v>
      </c>
      <c r="Q92" s="226">
        <f t="shared" si="56"/>
        <v>831.10097127810275</v>
      </c>
      <c r="R92" s="226">
        <f t="shared" si="56"/>
        <v>856.03400041644488</v>
      </c>
    </row>
    <row r="93" spans="1:26" s="60" customFormat="1" x14ac:dyDescent="0.25">
      <c r="A93" s="68"/>
      <c r="B93" s="80"/>
      <c r="C93" s="144"/>
      <c r="D93" s="76"/>
      <c r="E93" s="56" t="s">
        <v>173</v>
      </c>
      <c r="G93" s="126" t="s">
        <v>88</v>
      </c>
      <c r="H93" s="296"/>
      <c r="I93" s="296"/>
      <c r="J93" s="226">
        <f t="shared" ref="J93" si="57" xml:space="preserve"> ( (J90+J91) + J92) / 2</f>
        <v>0</v>
      </c>
      <c r="K93" s="226">
        <f t="shared" ref="K93" si="58" xml:space="preserve"> ( (K90+K91) + K92) / 2</f>
        <v>0</v>
      </c>
      <c r="L93" s="226">
        <f xml:space="preserve"> ( (L90+L91) + L92) / 2</f>
        <v>442.98537294878417</v>
      </c>
      <c r="M93" s="226">
        <f xml:space="preserve"> ( (M90+M91) + M92) / 2</f>
        <v>882.48726808557217</v>
      </c>
      <c r="N93" s="226">
        <f t="shared" ref="N93" si="59" xml:space="preserve"> ( (N90+N91) + N92) / 2</f>
        <v>874.72114499953568</v>
      </c>
      <c r="O93" s="226">
        <f t="shared" ref="O93" si="60" xml:space="preserve"> ( (O90+O91) + O92) / 2</f>
        <v>884.24823551954978</v>
      </c>
      <c r="P93" s="226">
        <f t="shared" ref="P93" si="61" xml:space="preserve"> ( (P90+P91) + P92) / 2</f>
        <v>867.9893949724792</v>
      </c>
      <c r="Q93" s="226">
        <f xml:space="preserve"> ( (Q90+Q91) + Q92) / 2</f>
        <v>852.00725030563194</v>
      </c>
      <c r="R93" s="226">
        <f t="shared" ref="R93" si="62" xml:space="preserve"> ( (R90+R91) + R92) / 2</f>
        <v>856.03400041644488</v>
      </c>
    </row>
    <row r="94" spans="1:26" s="60" customFormat="1" x14ac:dyDescent="0.25">
      <c r="A94" s="68"/>
      <c r="B94" s="80"/>
      <c r="C94" s="144"/>
      <c r="D94" s="76"/>
      <c r="J94" s="126"/>
      <c r="K94" s="126"/>
      <c r="L94" s="126"/>
      <c r="M94" s="126"/>
      <c r="N94" s="126"/>
      <c r="O94" s="126"/>
      <c r="P94" s="126"/>
      <c r="Q94" s="126"/>
      <c r="R94" s="126"/>
    </row>
    <row r="95" spans="1:26" x14ac:dyDescent="0.25">
      <c r="B95" s="80" t="s">
        <v>156</v>
      </c>
    </row>
    <row r="96" spans="1:26" s="253" customFormat="1" x14ac:dyDescent="0.25">
      <c r="A96" s="249"/>
      <c r="B96" s="250"/>
      <c r="C96" s="251"/>
      <c r="D96" s="252"/>
      <c r="E96" s="253" t="str">
        <f xml:space="preserve"> InpR!E$102</f>
        <v>WACC on RCV - CPI(H) + RPI wedge bf and additions - WN</v>
      </c>
      <c r="F96" s="253">
        <f xml:space="preserve"> InpR!F$102</f>
        <v>0</v>
      </c>
      <c r="G96" s="271" t="str">
        <f xml:space="preserve"> InpR!G$102</f>
        <v>%</v>
      </c>
      <c r="H96" s="253" t="str">
        <f xml:space="preserve"> InpR!I$102</f>
        <v>PR19 Financial model, 'Water Network' sheet row 980</v>
      </c>
      <c r="I96" s="253" t="e">
        <f xml:space="preserve"> InpR!#REF!</f>
        <v>#REF!</v>
      </c>
      <c r="J96" s="253">
        <f xml:space="preserve"> InpR!J$102</f>
        <v>0</v>
      </c>
      <c r="K96" s="253">
        <f xml:space="preserve"> InpR!K$102</f>
        <v>0</v>
      </c>
      <c r="L96" s="253">
        <f xml:space="preserve"> InpR!L$102</f>
        <v>0</v>
      </c>
      <c r="M96" s="253">
        <f xml:space="preserve"> InpR!M$102</f>
        <v>2.2181345335277269E-2</v>
      </c>
      <c r="N96" s="253">
        <f xml:space="preserve"> InpR!N$102</f>
        <v>2.2181345335277269E-2</v>
      </c>
      <c r="O96" s="253">
        <f xml:space="preserve"> InpR!O$102</f>
        <v>2.2181345335277269E-2</v>
      </c>
      <c r="P96" s="253">
        <f xml:space="preserve"> InpR!P$102</f>
        <v>2.2181345335277269E-2</v>
      </c>
      <c r="Q96" s="253">
        <f xml:space="preserve"> InpR!Q$102</f>
        <v>2.2181345335277269E-2</v>
      </c>
      <c r="R96" s="253">
        <f xml:space="preserve"> InpR!R$102</f>
        <v>0</v>
      </c>
    </row>
    <row r="97" spans="1:26" s="126" customFormat="1" x14ac:dyDescent="0.25">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5">
      <c r="E98" s="56" t="str">
        <f t="shared" ref="E98:R98" si="63" xml:space="preserve"> E$93</f>
        <v>Actual average RCV balance</v>
      </c>
      <c r="F98" s="225">
        <f t="shared" si="63"/>
        <v>0</v>
      </c>
      <c r="G98" s="225" t="str">
        <f t="shared" si="63"/>
        <v>£m</v>
      </c>
      <c r="H98" s="225">
        <f t="shared" si="63"/>
        <v>0</v>
      </c>
      <c r="I98" s="225">
        <f t="shared" si="63"/>
        <v>0</v>
      </c>
      <c r="J98" s="225">
        <f t="shared" si="63"/>
        <v>0</v>
      </c>
      <c r="K98" s="225">
        <f t="shared" si="63"/>
        <v>0</v>
      </c>
      <c r="L98" s="225">
        <f t="shared" si="63"/>
        <v>442.98537294878417</v>
      </c>
      <c r="M98" s="225">
        <f t="shared" si="63"/>
        <v>882.48726808557217</v>
      </c>
      <c r="N98" s="225">
        <f t="shared" si="63"/>
        <v>874.72114499953568</v>
      </c>
      <c r="O98" s="225">
        <f t="shared" si="63"/>
        <v>884.24823551954978</v>
      </c>
      <c r="P98" s="225">
        <f t="shared" si="63"/>
        <v>867.9893949724792</v>
      </c>
      <c r="Q98" s="225">
        <f t="shared" si="63"/>
        <v>852.00725030563194</v>
      </c>
      <c r="R98" s="225">
        <f t="shared" si="63"/>
        <v>856.03400041644488</v>
      </c>
    </row>
    <row r="99" spans="1:26" x14ac:dyDescent="0.25">
      <c r="E99" s="56" t="s">
        <v>157</v>
      </c>
      <c r="F99" s="295"/>
      <c r="G99" s="225" t="s">
        <v>88</v>
      </c>
      <c r="H99" s="295"/>
      <c r="I99" s="295"/>
      <c r="J99" s="295">
        <f t="shared" ref="J99:K99" si="64">J96*J97*J98</f>
        <v>0</v>
      </c>
      <c r="K99" s="295">
        <f t="shared" si="64"/>
        <v>0</v>
      </c>
      <c r="L99" s="295">
        <f>L96*L97*L98</f>
        <v>0</v>
      </c>
      <c r="M99" s="295">
        <f>M96*M97*M98</f>
        <v>19.574754847391489</v>
      </c>
      <c r="N99" s="295">
        <f t="shared" ref="N99:R99" si="65">N96*N97*N98</f>
        <v>19.402491789303841</v>
      </c>
      <c r="O99" s="295">
        <f t="shared" si="65"/>
        <v>19.613815474168721</v>
      </c>
      <c r="P99" s="295">
        <f t="shared" si="65"/>
        <v>19.253172517242941</v>
      </c>
      <c r="Q99" s="295">
        <f t="shared" si="65"/>
        <v>18.898667047189242</v>
      </c>
      <c r="R99" s="295">
        <f t="shared" si="65"/>
        <v>0</v>
      </c>
    </row>
    <row r="101" spans="1:26" x14ac:dyDescent="0.25">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5">
      <c r="A102" s="203"/>
      <c r="B102" s="204"/>
      <c r="C102" s="205"/>
      <c r="D102" s="206"/>
      <c r="E102" s="56" t="str">
        <f t="shared" ref="E102:R102" si="66" xml:space="preserve"> E$88</f>
        <v>Actual Nominal RCV balance END</v>
      </c>
      <c r="F102" s="226">
        <f t="shared" si="66"/>
        <v>0</v>
      </c>
      <c r="G102" s="226" t="str">
        <f t="shared" si="66"/>
        <v>£m</v>
      </c>
      <c r="H102" s="226">
        <f t="shared" si="66"/>
        <v>0</v>
      </c>
      <c r="I102" s="226">
        <f t="shared" si="66"/>
        <v>0</v>
      </c>
      <c r="J102" s="226">
        <f t="shared" si="66"/>
        <v>0</v>
      </c>
      <c r="K102" s="226">
        <f t="shared" si="66"/>
        <v>0</v>
      </c>
      <c r="L102" s="226">
        <f t="shared" si="66"/>
        <v>885.97074589756835</v>
      </c>
      <c r="M102" s="226">
        <f t="shared" si="66"/>
        <v>860.8330802154328</v>
      </c>
      <c r="N102" s="226">
        <f t="shared" si="66"/>
        <v>853.2575197521212</v>
      </c>
      <c r="O102" s="226">
        <f t="shared" si="66"/>
        <v>862.55083759865101</v>
      </c>
      <c r="P102" s="226">
        <f t="shared" si="66"/>
        <v>846.690951235385</v>
      </c>
      <c r="Q102" s="226">
        <f t="shared" si="66"/>
        <v>831.10097127810275</v>
      </c>
      <c r="R102" s="226">
        <f t="shared" si="66"/>
        <v>856.03400041644488</v>
      </c>
    </row>
    <row r="103" spans="1:26" x14ac:dyDescent="0.25">
      <c r="A103" s="89"/>
      <c r="B103" s="95"/>
      <c r="C103" s="332"/>
      <c r="D103" s="91"/>
      <c r="E103" s="56" t="s">
        <v>318</v>
      </c>
      <c r="F103" s="295"/>
      <c r="G103" s="295"/>
      <c r="H103" s="295"/>
      <c r="I103" s="295"/>
      <c r="J103" s="225">
        <f>J102 * J101</f>
        <v>0</v>
      </c>
      <c r="K103" s="225">
        <f t="shared" ref="K103" si="67">K102 * K101</f>
        <v>0</v>
      </c>
      <c r="L103" s="225">
        <f t="shared" ref="L103" si="68">L102 * L101</f>
        <v>0</v>
      </c>
      <c r="M103" s="225">
        <f t="shared" ref="M103" si="69">M102 * M101</f>
        <v>0</v>
      </c>
      <c r="N103" s="225">
        <f t="shared" ref="N103" si="70">N102 * N101</f>
        <v>0</v>
      </c>
      <c r="O103" s="225">
        <f t="shared" ref="O103" si="71">O102 * O101</f>
        <v>0</v>
      </c>
      <c r="P103" s="225">
        <f t="shared" ref="P103" si="72">P102 * P101</f>
        <v>0</v>
      </c>
      <c r="Q103" s="225">
        <f t="shared" ref="Q103" si="73">Q102 * Q101</f>
        <v>831.10097127810275</v>
      </c>
      <c r="R103" s="225">
        <f t="shared" ref="R103" si="74">R102 * R101</f>
        <v>0</v>
      </c>
    </row>
    <row r="104" spans="1:26" x14ac:dyDescent="0.25">
      <c r="J104" s="125"/>
      <c r="K104" s="125"/>
      <c r="L104" s="125"/>
      <c r="M104" s="125"/>
      <c r="N104" s="125"/>
      <c r="O104" s="125"/>
      <c r="P104" s="125"/>
      <c r="Q104" s="125"/>
      <c r="R104" s="125"/>
    </row>
    <row r="105" spans="1:26" x14ac:dyDescent="0.25">
      <c r="B105" s="80" t="s">
        <v>158</v>
      </c>
    </row>
    <row r="106" spans="1:26" x14ac:dyDescent="0.25">
      <c r="E106" s="56" t="str">
        <f t="shared" ref="E106:R106" si="75" xml:space="preserve"> E$80</f>
        <v>RCV run-off company should have received</v>
      </c>
      <c r="F106" s="225">
        <f t="shared" si="75"/>
        <v>0</v>
      </c>
      <c r="G106" s="225" t="str">
        <f t="shared" si="75"/>
        <v>£m</v>
      </c>
      <c r="H106" s="225">
        <f t="shared" si="75"/>
        <v>0</v>
      </c>
      <c r="I106" s="225">
        <f t="shared" si="75"/>
        <v>0</v>
      </c>
      <c r="J106" s="225">
        <f t="shared" si="75"/>
        <v>0</v>
      </c>
      <c r="K106" s="225">
        <f t="shared" si="75"/>
        <v>0</v>
      </c>
      <c r="L106" s="225">
        <f t="shared" si="75"/>
        <v>0</v>
      </c>
      <c r="M106" s="225">
        <f t="shared" si="75"/>
        <v>43.308375740278578</v>
      </c>
      <c r="N106" s="225">
        <f t="shared" si="75"/>
        <v>42.927250494828904</v>
      </c>
      <c r="O106" s="225">
        <f t="shared" si="75"/>
        <v>43.394795841797482</v>
      </c>
      <c r="P106" s="225">
        <f t="shared" si="75"/>
        <v>42.59688747418857</v>
      </c>
      <c r="Q106" s="225">
        <f t="shared" si="75"/>
        <v>41.812558055058417</v>
      </c>
      <c r="R106" s="225">
        <f t="shared" si="75"/>
        <v>0</v>
      </c>
    </row>
    <row r="107" spans="1:26" s="125" customFormat="1" x14ac:dyDescent="0.25">
      <c r="A107" s="210"/>
      <c r="B107" s="204"/>
      <c r="C107" s="205"/>
      <c r="D107" s="211"/>
      <c r="E107" s="56" t="str">
        <f t="shared" ref="E107:R108" si="76" xml:space="preserve"> E$99</f>
        <v>Nominal return company should have received</v>
      </c>
      <c r="F107" s="225">
        <f t="shared" si="76"/>
        <v>0</v>
      </c>
      <c r="G107" s="225" t="str">
        <f t="shared" si="76"/>
        <v>£m</v>
      </c>
      <c r="H107" s="225">
        <f t="shared" si="76"/>
        <v>0</v>
      </c>
      <c r="I107" s="225">
        <f t="shared" si="76"/>
        <v>0</v>
      </c>
      <c r="J107" s="225">
        <f t="shared" si="76"/>
        <v>0</v>
      </c>
      <c r="K107" s="225">
        <f t="shared" si="76"/>
        <v>0</v>
      </c>
      <c r="L107" s="225">
        <f t="shared" si="76"/>
        <v>0</v>
      </c>
      <c r="M107" s="225">
        <f t="shared" si="76"/>
        <v>19.574754847391489</v>
      </c>
      <c r="N107" s="225">
        <f t="shared" si="76"/>
        <v>19.402491789303841</v>
      </c>
      <c r="O107" s="225">
        <f t="shared" si="76"/>
        <v>19.613815474168721</v>
      </c>
      <c r="P107" s="225">
        <f t="shared" si="76"/>
        <v>19.253172517242941</v>
      </c>
      <c r="Q107" s="225">
        <f t="shared" si="76"/>
        <v>18.898667047189242</v>
      </c>
      <c r="R107" s="225">
        <f t="shared" si="76"/>
        <v>0</v>
      </c>
      <c r="S107" s="126"/>
      <c r="T107" s="126"/>
      <c r="U107" s="126"/>
      <c r="V107" s="126"/>
      <c r="W107" s="126"/>
      <c r="X107" s="126"/>
      <c r="Y107" s="126"/>
      <c r="Z107" s="126"/>
    </row>
    <row r="108" spans="1:26" x14ac:dyDescent="0.25">
      <c r="E108" s="56" t="s">
        <v>266</v>
      </c>
      <c r="F108" s="295"/>
      <c r="G108" s="225" t="str">
        <f t="shared" si="76"/>
        <v>£m</v>
      </c>
      <c r="H108" s="295">
        <f>SUM(J108:R108)</f>
        <v>310.78276928144822</v>
      </c>
      <c r="I108" s="295"/>
      <c r="J108" s="295">
        <f t="shared" ref="J108:R108" si="77">SUM(J106:J107)</f>
        <v>0</v>
      </c>
      <c r="K108" s="295">
        <f t="shared" si="77"/>
        <v>0</v>
      </c>
      <c r="L108" s="295">
        <f t="shared" si="77"/>
        <v>0</v>
      </c>
      <c r="M108" s="295">
        <f t="shared" si="77"/>
        <v>62.883130587670067</v>
      </c>
      <c r="N108" s="295">
        <f t="shared" si="77"/>
        <v>62.329742284132749</v>
      </c>
      <c r="O108" s="295">
        <f t="shared" si="77"/>
        <v>63.008611315966206</v>
      </c>
      <c r="P108" s="295">
        <f t="shared" si="77"/>
        <v>61.850059991431507</v>
      </c>
      <c r="Q108" s="295">
        <f t="shared" si="77"/>
        <v>60.71122510224766</v>
      </c>
      <c r="R108" s="295">
        <f t="shared" si="77"/>
        <v>0</v>
      </c>
    </row>
    <row r="110" spans="1:26" x14ac:dyDescent="0.25">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25">
      <c r="C112" s="144" t="s">
        <v>265</v>
      </c>
    </row>
    <row r="114" spans="1:26" x14ac:dyDescent="0.25">
      <c r="E114" s="56" t="str">
        <f xml:space="preserve"> E$61</f>
        <v>Actual nominal revenue</v>
      </c>
      <c r="F114" s="225">
        <f t="shared" ref="F114:Q114" si="78" xml:space="preserve"> F$61</f>
        <v>0</v>
      </c>
      <c r="G114" s="225" t="str">
        <f t="shared" si="78"/>
        <v>£m</v>
      </c>
      <c r="H114" s="225">
        <f t="shared" si="78"/>
        <v>0</v>
      </c>
      <c r="I114" s="225">
        <f t="shared" si="78"/>
        <v>0</v>
      </c>
      <c r="J114" s="225">
        <f t="shared" si="78"/>
        <v>0</v>
      </c>
      <c r="K114" s="225">
        <f t="shared" si="78"/>
        <v>0</v>
      </c>
      <c r="L114" s="225">
        <f t="shared" si="78"/>
        <v>0</v>
      </c>
      <c r="M114" s="225">
        <f t="shared" si="78"/>
        <v>63.114123820798127</v>
      </c>
      <c r="N114" s="225">
        <f t="shared" si="78"/>
        <v>61.868907423253063</v>
      </c>
      <c r="O114" s="225">
        <f t="shared" si="78"/>
        <v>60.761123405034795</v>
      </c>
      <c r="P114" s="225">
        <f t="shared" si="78"/>
        <v>59.701886892939541</v>
      </c>
      <c r="Q114" s="225">
        <f t="shared" si="78"/>
        <v>58.661115839112298</v>
      </c>
      <c r="R114" s="225">
        <f xml:space="preserve"> R$61</f>
        <v>0</v>
      </c>
    </row>
    <row r="115" spans="1:26" x14ac:dyDescent="0.25">
      <c r="E115" s="56" t="str">
        <f t="shared" ref="E115:R115" si="79" xml:space="preserve"> E$108</f>
        <v>Total nominal revenue company should have received</v>
      </c>
      <c r="F115" s="225">
        <f t="shared" si="79"/>
        <v>0</v>
      </c>
      <c r="G115" s="225" t="str">
        <f t="shared" si="79"/>
        <v>£m</v>
      </c>
      <c r="H115" s="225">
        <f t="shared" si="79"/>
        <v>310.78276928144822</v>
      </c>
      <c r="I115" s="225">
        <f t="shared" si="79"/>
        <v>0</v>
      </c>
      <c r="J115" s="225">
        <f t="shared" si="79"/>
        <v>0</v>
      </c>
      <c r="K115" s="225">
        <f t="shared" si="79"/>
        <v>0</v>
      </c>
      <c r="L115" s="225">
        <f t="shared" si="79"/>
        <v>0</v>
      </c>
      <c r="M115" s="225">
        <f t="shared" si="79"/>
        <v>62.883130587670067</v>
      </c>
      <c r="N115" s="225">
        <f t="shared" si="79"/>
        <v>62.329742284132749</v>
      </c>
      <c r="O115" s="225">
        <f t="shared" si="79"/>
        <v>63.008611315966206</v>
      </c>
      <c r="P115" s="225">
        <f t="shared" si="79"/>
        <v>61.850059991431507</v>
      </c>
      <c r="Q115" s="225">
        <f t="shared" si="79"/>
        <v>60.71122510224766</v>
      </c>
      <c r="R115" s="225">
        <f t="shared" si="79"/>
        <v>0</v>
      </c>
    </row>
    <row r="116" spans="1:26" s="225" customFormat="1" x14ac:dyDescent="0.25">
      <c r="A116" s="221"/>
      <c r="B116" s="222"/>
      <c r="C116" s="223"/>
      <c r="D116" s="224"/>
      <c r="E116" s="56" t="s">
        <v>267</v>
      </c>
      <c r="G116" s="225" t="str">
        <f t="shared" ref="G116" si="80" xml:space="preserve"> G$99</f>
        <v>£m</v>
      </c>
      <c r="H116" s="295">
        <f>SUM(J116:R116)</f>
        <v>6.6756119003103649</v>
      </c>
      <c r="M116" s="225">
        <f>M115-M114</f>
        <v>-0.23099323312806064</v>
      </c>
      <c r="N116" s="225">
        <f t="shared" ref="N116:Q116" si="81">N115-N114</f>
        <v>0.46083486087968595</v>
      </c>
      <c r="O116" s="225">
        <f t="shared" si="81"/>
        <v>2.2474879109314116</v>
      </c>
      <c r="P116" s="225">
        <f t="shared" si="81"/>
        <v>2.1481730984919665</v>
      </c>
      <c r="Q116" s="225">
        <f t="shared" si="81"/>
        <v>2.0501092631353615</v>
      </c>
      <c r="S116" s="226"/>
      <c r="T116" s="226"/>
      <c r="U116" s="226"/>
      <c r="V116" s="226"/>
      <c r="W116" s="226"/>
      <c r="X116" s="226"/>
      <c r="Y116" s="226"/>
      <c r="Z116" s="226"/>
    </row>
    <row r="118" spans="1:26" x14ac:dyDescent="0.25">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25">
      <c r="C120" s="144" t="s">
        <v>264</v>
      </c>
    </row>
    <row r="121" spans="1:26" x14ac:dyDescent="0.25">
      <c r="C121" s="144" t="s">
        <v>159</v>
      </c>
    </row>
    <row r="122" spans="1:26" x14ac:dyDescent="0.25">
      <c r="C122" s="144" t="s">
        <v>160</v>
      </c>
    </row>
    <row r="124" spans="1:26" s="253" customFormat="1" x14ac:dyDescent="0.25">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5">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5">
      <c r="A126" s="214"/>
      <c r="B126" s="215"/>
      <c r="C126" s="216"/>
      <c r="D126" s="217"/>
      <c r="E126" s="213" t="s">
        <v>161</v>
      </c>
      <c r="J126" s="213">
        <f t="shared" ref="J126:L126" si="82">SUM(J124:J125)</f>
        <v>0</v>
      </c>
      <c r="K126" s="213">
        <f t="shared" si="82"/>
        <v>0</v>
      </c>
      <c r="L126" s="213">
        <f t="shared" si="82"/>
        <v>3.1522140708501789E-2</v>
      </c>
      <c r="M126" s="213">
        <f>SUM(M124:M125)</f>
        <v>2.4258091513662761E-2</v>
      </c>
      <c r="N126" s="213">
        <f t="shared" ref="N126:R126" si="83">SUM(N124:N125)</f>
        <v>2.9587648685595269E-2</v>
      </c>
      <c r="O126" s="213">
        <f t="shared" si="83"/>
        <v>3.150368327076003E-2</v>
      </c>
      <c r="P126" s="213">
        <f t="shared" si="83"/>
        <v>3.2000000000000695E-2</v>
      </c>
      <c r="Q126" s="213">
        <f t="shared" si="83"/>
        <v>3.1999999999999806E-2</v>
      </c>
      <c r="R126" s="213">
        <f t="shared" si="83"/>
        <v>2.9999999999999805E-2</v>
      </c>
      <c r="S126" s="218"/>
      <c r="T126" s="218"/>
      <c r="U126" s="218"/>
      <c r="V126" s="218"/>
      <c r="W126" s="218"/>
      <c r="X126" s="218"/>
      <c r="Y126" s="218"/>
      <c r="Z126" s="218"/>
    </row>
    <row r="128" spans="1:26" s="199" customFormat="1" x14ac:dyDescent="0.25">
      <c r="A128" s="194"/>
      <c r="B128" s="195"/>
      <c r="C128" s="196"/>
      <c r="D128" s="197"/>
      <c r="E128" s="198" t="str">
        <f t="shared" ref="E128:R128" si="84" xml:space="preserve"> E$140</f>
        <v>True up Nominal RCV balance BEG</v>
      </c>
      <c r="F128" s="297">
        <f t="shared" si="84"/>
        <v>0</v>
      </c>
      <c r="G128" s="297" t="str">
        <f t="shared" si="84"/>
        <v>£m</v>
      </c>
      <c r="H128" s="297">
        <f t="shared" si="84"/>
        <v>0</v>
      </c>
      <c r="I128" s="297">
        <f t="shared" si="84"/>
        <v>0</v>
      </c>
      <c r="J128" s="297">
        <f t="shared" si="84"/>
        <v>0</v>
      </c>
      <c r="K128" s="297">
        <f t="shared" si="84"/>
        <v>0</v>
      </c>
      <c r="L128" s="297">
        <f t="shared" si="84"/>
        <v>0</v>
      </c>
      <c r="M128" s="297">
        <f t="shared" si="84"/>
        <v>885.97074589756835</v>
      </c>
      <c r="N128" s="297">
        <f t="shared" si="84"/>
        <v>863.99524174467354</v>
      </c>
      <c r="O128" s="297">
        <f t="shared" si="84"/>
        <v>846.94896149405804</v>
      </c>
      <c r="P128" s="297">
        <f t="shared" si="84"/>
        <v>831.7840497012719</v>
      </c>
      <c r="Q128" s="297">
        <f t="shared" si="84"/>
        <v>817.28372471964019</v>
      </c>
      <c r="R128" s="297">
        <f t="shared" si="84"/>
        <v>803.03618100334756</v>
      </c>
    </row>
    <row r="129" spans="1:16383" x14ac:dyDescent="0.25">
      <c r="E129" s="219" t="str">
        <f t="shared" ref="E129:R129" si="85" xml:space="preserve"> E$126</f>
        <v>True up Indexation percentage</v>
      </c>
      <c r="F129" s="219">
        <f t="shared" si="85"/>
        <v>0</v>
      </c>
      <c r="G129" s="219">
        <f t="shared" si="85"/>
        <v>0</v>
      </c>
      <c r="H129" s="219">
        <f t="shared" si="85"/>
        <v>0</v>
      </c>
      <c r="I129" s="219">
        <f t="shared" si="85"/>
        <v>0</v>
      </c>
      <c r="J129" s="219">
        <f t="shared" si="85"/>
        <v>0</v>
      </c>
      <c r="K129" s="219">
        <f t="shared" si="85"/>
        <v>0</v>
      </c>
      <c r="L129" s="219">
        <f t="shared" si="85"/>
        <v>3.1522140708501789E-2</v>
      </c>
      <c r="M129" s="219">
        <f t="shared" si="85"/>
        <v>2.4258091513662761E-2</v>
      </c>
      <c r="N129" s="219">
        <f t="shared" si="85"/>
        <v>2.9587648685595269E-2</v>
      </c>
      <c r="O129" s="219">
        <f t="shared" si="85"/>
        <v>3.150368327076003E-2</v>
      </c>
      <c r="P129" s="219">
        <f t="shared" si="85"/>
        <v>3.2000000000000695E-2</v>
      </c>
      <c r="Q129" s="219">
        <f t="shared" si="85"/>
        <v>3.1999999999999806E-2</v>
      </c>
      <c r="R129" s="219">
        <f t="shared" si="85"/>
        <v>2.9999999999999805E-2</v>
      </c>
    </row>
    <row r="130" spans="1:16383" x14ac:dyDescent="0.25">
      <c r="A130" s="89"/>
      <c r="B130" s="95"/>
      <c r="C130" s="332"/>
      <c r="D130" s="91"/>
      <c r="E130" s="56" t="s">
        <v>162</v>
      </c>
      <c r="G130" s="125" t="s">
        <v>88</v>
      </c>
      <c r="J130" s="298">
        <f>J128*J129</f>
        <v>0</v>
      </c>
      <c r="K130" s="298">
        <f t="shared" ref="K130" si="86">K128*K129</f>
        <v>0</v>
      </c>
      <c r="L130" s="298">
        <f t="shared" ref="L130" si="87">L128*L129</f>
        <v>0</v>
      </c>
      <c r="M130" s="298">
        <f>M128*M129</f>
        <v>21.491959432411267</v>
      </c>
      <c r="N130" s="298">
        <f t="shared" ref="N130" si="88">N128*N129</f>
        <v>25.563587678767355</v>
      </c>
      <c r="O130" s="298">
        <f t="shared" ref="O130" si="89">O128*O129</f>
        <v>26.682011829407937</v>
      </c>
      <c r="P130" s="298">
        <f t="shared" ref="P130" si="90">P128*P129</f>
        <v>26.617089590441278</v>
      </c>
      <c r="Q130" s="298">
        <f t="shared" ref="Q130" si="91">Q128*Q129</f>
        <v>26.153079191028329</v>
      </c>
      <c r="R130" s="298">
        <f t="shared" ref="R130" si="92">R128*R129</f>
        <v>24.091085430100271</v>
      </c>
    </row>
    <row r="132" spans="1:16383" s="253" customFormat="1" x14ac:dyDescent="0.25">
      <c r="A132" s="249"/>
      <c r="B132" s="250"/>
      <c r="C132" s="251"/>
      <c r="D132" s="252"/>
      <c r="E132" s="49" t="str">
        <f xml:space="preserve"> InpR!E$95</f>
        <v>Run-off rate - CPI(H) + RPI wedge - active - WN</v>
      </c>
      <c r="F132" s="253">
        <f xml:space="preserve"> InpR!F$95</f>
        <v>0</v>
      </c>
      <c r="G132" s="271" t="str">
        <f xml:space="preserve"> InpR!G$95</f>
        <v>%</v>
      </c>
      <c r="H132" s="253" t="str">
        <f xml:space="preserve"> InpR!I$95</f>
        <v>PR19 Financial model, 'F_OutputsMaster' sheet row 956, PR19FM2093POST</v>
      </c>
      <c r="I132" s="253" t="e">
        <f xml:space="preserve"> InpR!#REF!</f>
        <v>#REF!</v>
      </c>
      <c r="J132" s="253">
        <f xml:space="preserve"> InpR!J$95</f>
        <v>0</v>
      </c>
      <c r="K132" s="253">
        <f xml:space="preserve"> InpR!K$95</f>
        <v>0</v>
      </c>
      <c r="L132" s="253">
        <f xml:space="preserve"> InpR!L$95</f>
        <v>0</v>
      </c>
      <c r="M132" s="253">
        <f xml:space="preserve"> InpR!M$95</f>
        <v>4.7899999999999998E-2</v>
      </c>
      <c r="N132" s="253">
        <f xml:space="preserve"> InpR!N$95</f>
        <v>4.7899999999999998E-2</v>
      </c>
      <c r="O132" s="253">
        <f xml:space="preserve"> InpR!O$95</f>
        <v>4.7899999999999998E-2</v>
      </c>
      <c r="P132" s="253">
        <f xml:space="preserve"> InpR!P$95</f>
        <v>4.7899999999999998E-2</v>
      </c>
      <c r="Q132" s="253">
        <f xml:space="preserve"> InpR!Q$95</f>
        <v>4.7899999999999998E-2</v>
      </c>
      <c r="R132" s="253">
        <f xml:space="preserve"> InpR!R$95</f>
        <v>0</v>
      </c>
    </row>
    <row r="133" spans="1:16383" s="199" customFormat="1" x14ac:dyDescent="0.25">
      <c r="A133" s="194"/>
      <c r="B133" s="195"/>
      <c r="C133" s="196"/>
      <c r="D133" s="197"/>
      <c r="E133" s="198" t="str">
        <f t="shared" ref="E133:R133" si="93" xml:space="preserve"> E$140</f>
        <v>True up Nominal RCV balance BEG</v>
      </c>
      <c r="F133" s="297">
        <f t="shared" si="93"/>
        <v>0</v>
      </c>
      <c r="G133" s="297" t="str">
        <f t="shared" si="93"/>
        <v>£m</v>
      </c>
      <c r="H133" s="297">
        <f t="shared" si="93"/>
        <v>0</v>
      </c>
      <c r="I133" s="297">
        <f t="shared" si="93"/>
        <v>0</v>
      </c>
      <c r="J133" s="297">
        <f t="shared" si="93"/>
        <v>0</v>
      </c>
      <c r="K133" s="297">
        <f t="shared" si="93"/>
        <v>0</v>
      </c>
      <c r="L133" s="297">
        <f t="shared" si="93"/>
        <v>0</v>
      </c>
      <c r="M133" s="297">
        <f t="shared" si="93"/>
        <v>885.97074589756835</v>
      </c>
      <c r="N133" s="297">
        <f t="shared" si="93"/>
        <v>863.99524174467354</v>
      </c>
      <c r="O133" s="297">
        <f t="shared" si="93"/>
        <v>846.94896149405804</v>
      </c>
      <c r="P133" s="297">
        <f t="shared" si="93"/>
        <v>831.7840497012719</v>
      </c>
      <c r="Q133" s="297">
        <f t="shared" si="93"/>
        <v>817.28372471964019</v>
      </c>
      <c r="R133" s="297">
        <f t="shared" si="93"/>
        <v>803.03618100334756</v>
      </c>
    </row>
    <row r="134" spans="1:16383" s="125" customFormat="1" x14ac:dyDescent="0.25">
      <c r="A134" s="210"/>
      <c r="B134" s="204"/>
      <c r="C134" s="330"/>
      <c r="D134" s="211"/>
      <c r="E134" s="56" t="str">
        <f t="shared" ref="E134:R134" si="94" xml:space="preserve"> E$130</f>
        <v>True up RCV indexation</v>
      </c>
      <c r="F134" s="298">
        <f t="shared" si="94"/>
        <v>0</v>
      </c>
      <c r="G134" s="201" t="str">
        <f t="shared" si="94"/>
        <v>£m</v>
      </c>
      <c r="H134" s="298">
        <f t="shared" si="94"/>
        <v>0</v>
      </c>
      <c r="I134" s="298">
        <f t="shared" si="94"/>
        <v>0</v>
      </c>
      <c r="J134" s="298">
        <f t="shared" si="94"/>
        <v>0</v>
      </c>
      <c r="K134" s="298">
        <f t="shared" si="94"/>
        <v>0</v>
      </c>
      <c r="L134" s="298">
        <f t="shared" si="94"/>
        <v>0</v>
      </c>
      <c r="M134" s="298">
        <f t="shared" si="94"/>
        <v>21.491959432411267</v>
      </c>
      <c r="N134" s="298">
        <f t="shared" si="94"/>
        <v>25.563587678767355</v>
      </c>
      <c r="O134" s="298">
        <f t="shared" si="94"/>
        <v>26.682011829407937</v>
      </c>
      <c r="P134" s="298">
        <f t="shared" si="94"/>
        <v>26.617089590441278</v>
      </c>
      <c r="Q134" s="298">
        <f t="shared" si="94"/>
        <v>26.153079191028329</v>
      </c>
      <c r="R134" s="298">
        <f t="shared" si="94"/>
        <v>24.091085430100271</v>
      </c>
      <c r="S134" s="126"/>
      <c r="T134" s="126"/>
      <c r="U134" s="126"/>
      <c r="V134" s="126"/>
      <c r="W134" s="126"/>
      <c r="X134" s="126"/>
      <c r="Y134" s="126"/>
      <c r="Z134" s="126"/>
    </row>
    <row r="135" spans="1:16383" x14ac:dyDescent="0.25">
      <c r="A135" s="89"/>
      <c r="B135" s="95"/>
      <c r="C135" s="332"/>
      <c r="D135" s="91"/>
      <c r="E135" s="56" t="s">
        <v>319</v>
      </c>
      <c r="F135" s="299"/>
      <c r="G135" s="201" t="s">
        <v>88</v>
      </c>
      <c r="H135" s="299"/>
      <c r="I135" s="299"/>
      <c r="J135" s="298">
        <f t="shared" ref="J135:R135" si="95" xml:space="preserve"> (J133+J134) * J132</f>
        <v>0</v>
      </c>
      <c r="K135" s="298">
        <f t="shared" si="95"/>
        <v>0</v>
      </c>
      <c r="L135" s="298">
        <f t="shared" si="95"/>
        <v>0</v>
      </c>
      <c r="M135" s="298">
        <f xml:space="preserve"> (M133+M134) * M132</f>
        <v>43.467463585306021</v>
      </c>
      <c r="N135" s="298">
        <f t="shared" si="95"/>
        <v>42.609867929382816</v>
      </c>
      <c r="O135" s="298">
        <f t="shared" si="95"/>
        <v>41.846923622194019</v>
      </c>
      <c r="P135" s="298">
        <f t="shared" si="95"/>
        <v>41.117414572073059</v>
      </c>
      <c r="Q135" s="298">
        <f t="shared" si="95"/>
        <v>40.400622907321022</v>
      </c>
      <c r="R135" s="298">
        <f t="shared" si="95"/>
        <v>0</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5">
      <c r="E136" s="304"/>
      <c r="F136" s="304"/>
      <c r="G136" s="304"/>
      <c r="H136" s="304"/>
    </row>
    <row r="137" spans="1:16383" s="242" customFormat="1" x14ac:dyDescent="0.25">
      <c r="A137" s="238"/>
      <c r="B137" s="239"/>
      <c r="C137" s="240"/>
      <c r="D137" s="241"/>
      <c r="E137" s="302" t="str">
        <f>InpR!$E$88</f>
        <v>RCV - CPI(H) + RPI wedge initial balance - nominal - WN</v>
      </c>
      <c r="F137" s="302">
        <f>InpR!$F$88</f>
        <v>885.97074589756835</v>
      </c>
      <c r="G137" s="302" t="str">
        <f>InpR!$G$88</f>
        <v>£m</v>
      </c>
      <c r="H137" s="303"/>
    </row>
    <row r="138" spans="1:16383" s="49" customFormat="1" x14ac:dyDescent="0.25">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5">
      <c r="A139" s="67"/>
      <c r="B139" s="78"/>
      <c r="C139" s="142"/>
      <c r="D139" s="72"/>
      <c r="S139" s="59"/>
      <c r="T139" s="59"/>
      <c r="U139" s="59"/>
      <c r="V139" s="59"/>
      <c r="W139" s="59"/>
      <c r="X139" s="59"/>
      <c r="Y139" s="59"/>
      <c r="Z139" s="59"/>
    </row>
    <row r="140" spans="1:16383" s="59" customFormat="1" x14ac:dyDescent="0.25">
      <c r="A140" s="116"/>
      <c r="B140" s="337"/>
      <c r="C140" s="338"/>
      <c r="D140" s="339"/>
      <c r="E140" s="59" t="s">
        <v>163</v>
      </c>
      <c r="G140" s="201" t="s">
        <v>88</v>
      </c>
      <c r="J140" s="293">
        <f t="shared" ref="J140" si="96" xml:space="preserve"> I143</f>
        <v>0</v>
      </c>
      <c r="K140" s="293">
        <f t="shared" ref="K140" si="97" xml:space="preserve"> J143</f>
        <v>0</v>
      </c>
      <c r="L140" s="293">
        <f t="shared" ref="L140" si="98" xml:space="preserve"> K143</f>
        <v>0</v>
      </c>
      <c r="M140" s="293">
        <f t="shared" ref="M140" si="99" xml:space="preserve"> L143</f>
        <v>885.97074589756835</v>
      </c>
      <c r="N140" s="293">
        <f t="shared" ref="N140" si="100" xml:space="preserve"> M143</f>
        <v>863.99524174467354</v>
      </c>
      <c r="O140" s="293">
        <f t="shared" ref="O140" si="101" xml:space="preserve"> N143</f>
        <v>846.94896149405804</v>
      </c>
      <c r="P140" s="293">
        <f t="shared" ref="P140" si="102" xml:space="preserve"> O143</f>
        <v>831.7840497012719</v>
      </c>
      <c r="Q140" s="293">
        <f t="shared" ref="Q140" si="103" xml:space="preserve"> P143</f>
        <v>817.28372471964019</v>
      </c>
      <c r="R140" s="293">
        <f t="shared" ref="R140" si="104" xml:space="preserve"> Q143</f>
        <v>803.03618100334756</v>
      </c>
    </row>
    <row r="141" spans="1:16383" s="59" customFormat="1" x14ac:dyDescent="0.25">
      <c r="A141" s="66"/>
      <c r="B141" s="70"/>
      <c r="C141" s="145"/>
      <c r="D141" s="75" t="s">
        <v>139</v>
      </c>
      <c r="E141" s="59" t="str">
        <f t="shared" ref="E141:R141" si="105" xml:space="preserve"> E$130</f>
        <v>True up RCV indexation</v>
      </c>
      <c r="F141" s="293">
        <f t="shared" si="105"/>
        <v>0</v>
      </c>
      <c r="G141" s="293" t="str">
        <f t="shared" si="105"/>
        <v>£m</v>
      </c>
      <c r="H141" s="293">
        <f t="shared" si="105"/>
        <v>0</v>
      </c>
      <c r="I141" s="293">
        <f t="shared" si="105"/>
        <v>0</v>
      </c>
      <c r="J141" s="293">
        <f t="shared" si="105"/>
        <v>0</v>
      </c>
      <c r="K141" s="293">
        <f t="shared" si="105"/>
        <v>0</v>
      </c>
      <c r="L141" s="293">
        <f t="shared" si="105"/>
        <v>0</v>
      </c>
      <c r="M141" s="293">
        <f t="shared" si="105"/>
        <v>21.491959432411267</v>
      </c>
      <c r="N141" s="293">
        <f t="shared" si="105"/>
        <v>25.563587678767355</v>
      </c>
      <c r="O141" s="293">
        <f t="shared" si="105"/>
        <v>26.682011829407937</v>
      </c>
      <c r="P141" s="293">
        <f t="shared" si="105"/>
        <v>26.617089590441278</v>
      </c>
      <c r="Q141" s="293">
        <f t="shared" si="105"/>
        <v>26.153079191028329</v>
      </c>
      <c r="R141" s="293">
        <f t="shared" si="105"/>
        <v>24.091085430100271</v>
      </c>
    </row>
    <row r="142" spans="1:16383" s="59" customFormat="1" x14ac:dyDescent="0.25">
      <c r="A142" s="66"/>
      <c r="B142" s="70"/>
      <c r="C142" s="145"/>
      <c r="D142" s="75" t="s">
        <v>140</v>
      </c>
      <c r="E142" s="59" t="str">
        <f t="shared" ref="E142:R142" si="106" xml:space="preserve"> E$135</f>
        <v>True up Nominal RCV run-off</v>
      </c>
      <c r="F142" s="293">
        <f t="shared" si="106"/>
        <v>0</v>
      </c>
      <c r="G142" s="293" t="str">
        <f t="shared" si="106"/>
        <v>£m</v>
      </c>
      <c r="H142" s="293">
        <f t="shared" si="106"/>
        <v>0</v>
      </c>
      <c r="I142" s="293">
        <f t="shared" si="106"/>
        <v>0</v>
      </c>
      <c r="J142" s="293">
        <f t="shared" si="106"/>
        <v>0</v>
      </c>
      <c r="K142" s="293">
        <f t="shared" si="106"/>
        <v>0</v>
      </c>
      <c r="L142" s="293">
        <f t="shared" si="106"/>
        <v>0</v>
      </c>
      <c r="M142" s="293">
        <f t="shared" si="106"/>
        <v>43.467463585306021</v>
      </c>
      <c r="N142" s="293">
        <f t="shared" si="106"/>
        <v>42.609867929382816</v>
      </c>
      <c r="O142" s="293">
        <f t="shared" si="106"/>
        <v>41.846923622194019</v>
      </c>
      <c r="P142" s="293">
        <f t="shared" si="106"/>
        <v>41.117414572073059</v>
      </c>
      <c r="Q142" s="293">
        <f t="shared" si="106"/>
        <v>40.400622907321022</v>
      </c>
      <c r="R142" s="293">
        <f t="shared" si="106"/>
        <v>0</v>
      </c>
    </row>
    <row r="143" spans="1:16383" s="173" customFormat="1" x14ac:dyDescent="0.25">
      <c r="A143" s="333"/>
      <c r="B143" s="334"/>
      <c r="C143" s="335"/>
      <c r="D143" s="336"/>
      <c r="E143" s="173" t="s">
        <v>164</v>
      </c>
      <c r="G143" s="202" t="s">
        <v>88</v>
      </c>
      <c r="J143" s="294">
        <f t="shared" ref="J143:R143" si="107" xml:space="preserve"> IF( J138 = 1, $F137, J140 + J141 - J142)</f>
        <v>0</v>
      </c>
      <c r="K143" s="294">
        <f t="shared" si="107"/>
        <v>0</v>
      </c>
      <c r="L143" s="294">
        <f t="shared" si="107"/>
        <v>885.97074589756835</v>
      </c>
      <c r="M143" s="294">
        <f t="shared" si="107"/>
        <v>863.99524174467354</v>
      </c>
      <c r="N143" s="294">
        <f t="shared" si="107"/>
        <v>846.94896149405804</v>
      </c>
      <c r="O143" s="294">
        <f t="shared" si="107"/>
        <v>831.7840497012719</v>
      </c>
      <c r="P143" s="294">
        <f t="shared" si="107"/>
        <v>817.28372471964019</v>
      </c>
      <c r="Q143" s="294">
        <f t="shared" si="107"/>
        <v>803.03618100334756</v>
      </c>
      <c r="R143" s="294">
        <f t="shared" si="107"/>
        <v>827.12726643344786</v>
      </c>
    </row>
    <row r="145" spans="1:26" s="126" customFormat="1" x14ac:dyDescent="0.25">
      <c r="A145" s="203"/>
      <c r="B145" s="204"/>
      <c r="C145" s="205"/>
      <c r="D145" s="206"/>
      <c r="E145" s="220" t="str">
        <f t="shared" ref="E145:R145" si="108" xml:space="preserve"> E$140</f>
        <v>True up Nominal RCV balance BEG</v>
      </c>
      <c r="F145" s="226">
        <f t="shared" si="108"/>
        <v>0</v>
      </c>
      <c r="G145" s="226" t="str">
        <f t="shared" si="108"/>
        <v>£m</v>
      </c>
      <c r="H145" s="226">
        <f t="shared" si="108"/>
        <v>0</v>
      </c>
      <c r="I145" s="226">
        <f t="shared" si="108"/>
        <v>0</v>
      </c>
      <c r="J145" s="226">
        <f t="shared" si="108"/>
        <v>0</v>
      </c>
      <c r="K145" s="226">
        <f t="shared" si="108"/>
        <v>0</v>
      </c>
      <c r="L145" s="226">
        <f t="shared" si="108"/>
        <v>0</v>
      </c>
      <c r="M145" s="226">
        <f t="shared" si="108"/>
        <v>885.97074589756835</v>
      </c>
      <c r="N145" s="226">
        <f t="shared" si="108"/>
        <v>863.99524174467354</v>
      </c>
      <c r="O145" s="226">
        <f t="shared" si="108"/>
        <v>846.94896149405804</v>
      </c>
      <c r="P145" s="226">
        <f t="shared" si="108"/>
        <v>831.7840497012719</v>
      </c>
      <c r="Q145" s="226">
        <f t="shared" si="108"/>
        <v>817.28372471964019</v>
      </c>
      <c r="R145" s="226">
        <f t="shared" si="108"/>
        <v>803.03618100334756</v>
      </c>
    </row>
    <row r="146" spans="1:26" s="125" customFormat="1" x14ac:dyDescent="0.25">
      <c r="A146" s="210"/>
      <c r="B146" s="204"/>
      <c r="C146" s="205"/>
      <c r="D146" s="211"/>
      <c r="E146" s="220" t="str">
        <f t="shared" ref="E146:R146" si="109" xml:space="preserve"> E$130</f>
        <v>True up RCV indexation</v>
      </c>
      <c r="F146" s="225">
        <f t="shared" si="109"/>
        <v>0</v>
      </c>
      <c r="G146" s="226" t="str">
        <f t="shared" si="109"/>
        <v>£m</v>
      </c>
      <c r="H146" s="225">
        <f t="shared" si="109"/>
        <v>0</v>
      </c>
      <c r="I146" s="225">
        <f t="shared" si="109"/>
        <v>0</v>
      </c>
      <c r="J146" s="225">
        <f t="shared" si="109"/>
        <v>0</v>
      </c>
      <c r="K146" s="225">
        <f t="shared" si="109"/>
        <v>0</v>
      </c>
      <c r="L146" s="225">
        <f t="shared" si="109"/>
        <v>0</v>
      </c>
      <c r="M146" s="225">
        <f t="shared" si="109"/>
        <v>21.491959432411267</v>
      </c>
      <c r="N146" s="225">
        <f t="shared" si="109"/>
        <v>25.563587678767355</v>
      </c>
      <c r="O146" s="225">
        <f t="shared" si="109"/>
        <v>26.682011829407937</v>
      </c>
      <c r="P146" s="225">
        <f t="shared" si="109"/>
        <v>26.617089590441278</v>
      </c>
      <c r="Q146" s="225">
        <f t="shared" si="109"/>
        <v>26.153079191028329</v>
      </c>
      <c r="R146" s="225">
        <f t="shared" si="109"/>
        <v>24.091085430100271</v>
      </c>
      <c r="S146" s="126"/>
      <c r="T146" s="126"/>
      <c r="U146" s="126"/>
      <c r="V146" s="126"/>
      <c r="W146" s="126"/>
      <c r="X146" s="126"/>
      <c r="Y146" s="126"/>
      <c r="Z146" s="126"/>
    </row>
    <row r="147" spans="1:26" s="126" customFormat="1" x14ac:dyDescent="0.25">
      <c r="A147" s="203"/>
      <c r="B147" s="204"/>
      <c r="C147" s="205"/>
      <c r="D147" s="206"/>
      <c r="E147" s="220" t="str">
        <f t="shared" ref="E147:R147" si="110" xml:space="preserve"> E$143</f>
        <v>True up Nominal RCV balance END</v>
      </c>
      <c r="F147" s="226">
        <f t="shared" si="110"/>
        <v>0</v>
      </c>
      <c r="G147" s="226" t="str">
        <f t="shared" si="110"/>
        <v>£m</v>
      </c>
      <c r="H147" s="226">
        <f t="shared" si="110"/>
        <v>0</v>
      </c>
      <c r="I147" s="226">
        <f t="shared" si="110"/>
        <v>0</v>
      </c>
      <c r="J147" s="226">
        <f t="shared" si="110"/>
        <v>0</v>
      </c>
      <c r="K147" s="226">
        <f t="shared" si="110"/>
        <v>0</v>
      </c>
      <c r="L147" s="226">
        <f t="shared" si="110"/>
        <v>885.97074589756835</v>
      </c>
      <c r="M147" s="226">
        <f t="shared" si="110"/>
        <v>863.99524174467354</v>
      </c>
      <c r="N147" s="226">
        <f t="shared" si="110"/>
        <v>846.94896149405804</v>
      </c>
      <c r="O147" s="226">
        <f t="shared" si="110"/>
        <v>831.7840497012719</v>
      </c>
      <c r="P147" s="226">
        <f t="shared" si="110"/>
        <v>817.28372471964019</v>
      </c>
      <c r="Q147" s="226">
        <f t="shared" si="110"/>
        <v>803.03618100334756</v>
      </c>
      <c r="R147" s="226">
        <f t="shared" si="110"/>
        <v>827.12726643344786</v>
      </c>
    </row>
    <row r="148" spans="1:26" s="60" customFormat="1" x14ac:dyDescent="0.25">
      <c r="A148" s="96"/>
      <c r="B148" s="95"/>
      <c r="C148" s="332"/>
      <c r="D148" s="97"/>
      <c r="E148" s="60" t="s">
        <v>317</v>
      </c>
      <c r="F148" s="296"/>
      <c r="G148" s="226" t="s">
        <v>88</v>
      </c>
      <c r="H148" s="296"/>
      <c r="I148" s="296"/>
      <c r="J148" s="226">
        <f t="shared" ref="J148:L148" si="111" xml:space="preserve"> ( (J145+J146) + J147) / 2</f>
        <v>0</v>
      </c>
      <c r="K148" s="226">
        <f t="shared" si="111"/>
        <v>0</v>
      </c>
      <c r="L148" s="226">
        <f t="shared" si="111"/>
        <v>442.98537294878417</v>
      </c>
      <c r="M148" s="226">
        <f xml:space="preserve"> ( (M145+M146) + M147) / 2</f>
        <v>885.72897353732651</v>
      </c>
      <c r="N148" s="226">
        <f t="shared" ref="N148:R148" si="112" xml:space="preserve"> ( (N145+N146) + N147) / 2</f>
        <v>868.25389545874941</v>
      </c>
      <c r="O148" s="226">
        <f t="shared" si="112"/>
        <v>852.70751151236891</v>
      </c>
      <c r="P148" s="226">
        <f t="shared" si="112"/>
        <v>837.84243200567676</v>
      </c>
      <c r="Q148" s="226">
        <f t="shared" si="112"/>
        <v>823.23649245700813</v>
      </c>
      <c r="R148" s="226">
        <f t="shared" si="112"/>
        <v>827.12726643344786</v>
      </c>
    </row>
    <row r="150" spans="1:26" s="253" customFormat="1" x14ac:dyDescent="0.25">
      <c r="A150" s="249"/>
      <c r="B150" s="250"/>
      <c r="C150" s="251"/>
      <c r="D150" s="252"/>
      <c r="E150" s="253" t="str">
        <f xml:space="preserve"> InpR!E$102</f>
        <v>WACC on RCV - CPI(H) + RPI wedge bf and additions - WN</v>
      </c>
      <c r="F150" s="253">
        <f xml:space="preserve"> InpR!F$102</f>
        <v>0</v>
      </c>
      <c r="G150" s="271" t="str">
        <f xml:space="preserve"> InpR!G$102</f>
        <v>%</v>
      </c>
      <c r="H150" s="253" t="str">
        <f xml:space="preserve"> InpR!I$102</f>
        <v>PR19 Financial model, 'Water Network' sheet row 980</v>
      </c>
      <c r="I150" s="253" t="e">
        <f xml:space="preserve"> InpR!#REF!</f>
        <v>#REF!</v>
      </c>
      <c r="J150" s="253">
        <f xml:space="preserve"> InpR!J$102</f>
        <v>0</v>
      </c>
      <c r="K150" s="253">
        <f xml:space="preserve"> InpR!K$102</f>
        <v>0</v>
      </c>
      <c r="L150" s="253">
        <f xml:space="preserve"> InpR!L$102</f>
        <v>0</v>
      </c>
      <c r="M150" s="253">
        <f xml:space="preserve"> InpR!M$102</f>
        <v>2.2181345335277269E-2</v>
      </c>
      <c r="N150" s="253">
        <f xml:space="preserve"> InpR!N$102</f>
        <v>2.2181345335277269E-2</v>
      </c>
      <c r="O150" s="253">
        <f xml:space="preserve"> InpR!O$102</f>
        <v>2.2181345335277269E-2</v>
      </c>
      <c r="P150" s="253">
        <f xml:space="preserve"> InpR!P$102</f>
        <v>2.2181345335277269E-2</v>
      </c>
      <c r="Q150" s="253">
        <f xml:space="preserve"> InpR!Q$102</f>
        <v>2.2181345335277269E-2</v>
      </c>
      <c r="R150" s="253">
        <f xml:space="preserve"> InpR!R$102</f>
        <v>0</v>
      </c>
    </row>
    <row r="151" spans="1:26" s="126" customFormat="1" x14ac:dyDescent="0.25">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5">
      <c r="E152" s="60" t="str">
        <f t="shared" ref="E152:R152" si="113" xml:space="preserve"> E$148</f>
        <v>True up Nominal RCV average balance</v>
      </c>
      <c r="F152" s="225">
        <f t="shared" si="113"/>
        <v>0</v>
      </c>
      <c r="G152" s="225" t="str">
        <f t="shared" si="113"/>
        <v>£m</v>
      </c>
      <c r="H152" s="298">
        <f t="shared" si="113"/>
        <v>0</v>
      </c>
      <c r="I152" s="225">
        <f t="shared" si="113"/>
        <v>0</v>
      </c>
      <c r="J152" s="298">
        <f t="shared" si="113"/>
        <v>0</v>
      </c>
      <c r="K152" s="298">
        <f t="shared" si="113"/>
        <v>0</v>
      </c>
      <c r="L152" s="298">
        <f t="shared" si="113"/>
        <v>442.98537294878417</v>
      </c>
      <c r="M152" s="298">
        <f t="shared" si="113"/>
        <v>885.72897353732651</v>
      </c>
      <c r="N152" s="298">
        <f t="shared" si="113"/>
        <v>868.25389545874941</v>
      </c>
      <c r="O152" s="298">
        <f t="shared" si="113"/>
        <v>852.70751151236891</v>
      </c>
      <c r="P152" s="298">
        <f t="shared" si="113"/>
        <v>837.84243200567676</v>
      </c>
      <c r="Q152" s="298">
        <f t="shared" si="113"/>
        <v>823.23649245700813</v>
      </c>
      <c r="R152" s="298">
        <f t="shared" si="113"/>
        <v>827.12726643344786</v>
      </c>
    </row>
    <row r="153" spans="1:26" x14ac:dyDescent="0.25">
      <c r="A153" s="89"/>
      <c r="B153" s="95"/>
      <c r="C153" s="332"/>
      <c r="D153" s="91"/>
      <c r="E153" s="56" t="s">
        <v>320</v>
      </c>
      <c r="F153" s="295"/>
      <c r="G153" s="225" t="s">
        <v>88</v>
      </c>
      <c r="H153" s="295"/>
      <c r="I153" s="295"/>
      <c r="J153" s="298">
        <f t="shared" ref="J153:K153" si="114">J150*J151*J152</f>
        <v>0</v>
      </c>
      <c r="K153" s="298">
        <f t="shared" si="114"/>
        <v>0</v>
      </c>
      <c r="L153" s="298">
        <f>L150*L151*L152</f>
        <v>0</v>
      </c>
      <c r="M153" s="298">
        <f t="shared" ref="M153:R153" si="115">M150*M151*M152</f>
        <v>19.646660235492103</v>
      </c>
      <c r="N153" s="298">
        <f t="shared" si="115"/>
        <v>19.259039493870247</v>
      </c>
      <c r="O153" s="298">
        <f t="shared" si="115"/>
        <v>18.914199782840772</v>
      </c>
      <c r="P153" s="298">
        <f t="shared" si="115"/>
        <v>18.584472320866482</v>
      </c>
      <c r="Q153" s="298">
        <f t="shared" si="115"/>
        <v>18.26049293179128</v>
      </c>
      <c r="R153" s="298">
        <f t="shared" si="115"/>
        <v>0</v>
      </c>
    </row>
    <row r="154" spans="1:26" x14ac:dyDescent="0.25">
      <c r="M154" s="228"/>
      <c r="N154" s="228"/>
      <c r="O154" s="228"/>
      <c r="P154" s="228"/>
      <c r="Q154" s="228"/>
    </row>
    <row r="155" spans="1:26" s="125" customFormat="1" x14ac:dyDescent="0.25">
      <c r="A155" s="210"/>
      <c r="B155" s="204"/>
      <c r="C155" s="205"/>
      <c r="D155" s="211"/>
      <c r="E155" s="60" t="str">
        <f t="shared" ref="E155:R155" si="116" xml:space="preserve"> E$135</f>
        <v>True up Nominal RCV run-off</v>
      </c>
      <c r="F155" s="225">
        <f t="shared" si="116"/>
        <v>0</v>
      </c>
      <c r="G155" s="225" t="str">
        <f t="shared" si="116"/>
        <v>£m</v>
      </c>
      <c r="H155" s="225">
        <f t="shared" si="116"/>
        <v>0</v>
      </c>
      <c r="I155" s="225">
        <f t="shared" si="116"/>
        <v>0</v>
      </c>
      <c r="J155" s="225">
        <f t="shared" si="116"/>
        <v>0</v>
      </c>
      <c r="K155" s="225">
        <f t="shared" si="116"/>
        <v>0</v>
      </c>
      <c r="L155" s="225">
        <f t="shared" si="116"/>
        <v>0</v>
      </c>
      <c r="M155" s="225">
        <f t="shared" si="116"/>
        <v>43.467463585306021</v>
      </c>
      <c r="N155" s="225">
        <f t="shared" si="116"/>
        <v>42.609867929382816</v>
      </c>
      <c r="O155" s="225">
        <f t="shared" si="116"/>
        <v>41.846923622194019</v>
      </c>
      <c r="P155" s="225">
        <f t="shared" si="116"/>
        <v>41.117414572073059</v>
      </c>
      <c r="Q155" s="225">
        <f t="shared" si="116"/>
        <v>40.400622907321022</v>
      </c>
      <c r="R155" s="225">
        <f t="shared" si="116"/>
        <v>0</v>
      </c>
      <c r="S155" s="126"/>
      <c r="T155" s="126"/>
      <c r="U155" s="126"/>
      <c r="V155" s="126"/>
      <c r="W155" s="126"/>
      <c r="X155" s="126"/>
      <c r="Y155" s="126"/>
      <c r="Z155" s="126"/>
    </row>
    <row r="156" spans="1:26" x14ac:dyDescent="0.25">
      <c r="E156" s="60" t="str">
        <f t="shared" ref="E156:R156" si="117" xml:space="preserve"> E$153</f>
        <v>True up Nominal return</v>
      </c>
      <c r="F156" s="225">
        <f t="shared" si="117"/>
        <v>0</v>
      </c>
      <c r="G156" s="225" t="str">
        <f t="shared" si="117"/>
        <v>£m</v>
      </c>
      <c r="H156" s="225">
        <f t="shared" si="117"/>
        <v>0</v>
      </c>
      <c r="I156" s="225">
        <f t="shared" si="117"/>
        <v>0</v>
      </c>
      <c r="J156" s="225">
        <f t="shared" si="117"/>
        <v>0</v>
      </c>
      <c r="K156" s="225">
        <f t="shared" si="117"/>
        <v>0</v>
      </c>
      <c r="L156" s="225">
        <f t="shared" si="117"/>
        <v>0</v>
      </c>
      <c r="M156" s="225">
        <f t="shared" si="117"/>
        <v>19.646660235492103</v>
      </c>
      <c r="N156" s="225">
        <f t="shared" si="117"/>
        <v>19.259039493870247</v>
      </c>
      <c r="O156" s="225">
        <f t="shared" si="117"/>
        <v>18.914199782840772</v>
      </c>
      <c r="P156" s="225">
        <f t="shared" si="117"/>
        <v>18.584472320866482</v>
      </c>
      <c r="Q156" s="225">
        <f t="shared" si="117"/>
        <v>18.26049293179128</v>
      </c>
      <c r="R156" s="225">
        <f t="shared" si="117"/>
        <v>0</v>
      </c>
    </row>
    <row r="157" spans="1:26" x14ac:dyDescent="0.25">
      <c r="A157" s="89"/>
      <c r="B157" s="95"/>
      <c r="C157" s="332"/>
      <c r="D157" s="91"/>
      <c r="E157" s="56" t="s">
        <v>321</v>
      </c>
      <c r="F157" s="295"/>
      <c r="G157" s="225" t="str">
        <f t="shared" ref="G157" si="118">G$155</f>
        <v>£m</v>
      </c>
      <c r="H157" s="295">
        <f>SUM(J157:R157)</f>
        <v>304.10715738113782</v>
      </c>
      <c r="I157" s="295"/>
      <c r="J157" s="295">
        <f t="shared" ref="J157:R157" si="119">SUM(J155:J156)</f>
        <v>0</v>
      </c>
      <c r="K157" s="295">
        <f t="shared" si="119"/>
        <v>0</v>
      </c>
      <c r="L157" s="295">
        <f>SUM(L155:L156)</f>
        <v>0</v>
      </c>
      <c r="M157" s="295">
        <f t="shared" si="119"/>
        <v>63.114123820798127</v>
      </c>
      <c r="N157" s="295">
        <f t="shared" si="119"/>
        <v>61.868907423253063</v>
      </c>
      <c r="O157" s="295">
        <f t="shared" si="119"/>
        <v>60.761123405034795</v>
      </c>
      <c r="P157" s="295">
        <f t="shared" si="119"/>
        <v>59.701886892939541</v>
      </c>
      <c r="Q157" s="295">
        <f t="shared" si="119"/>
        <v>58.661115839112298</v>
      </c>
      <c r="R157" s="295">
        <f t="shared" si="119"/>
        <v>0</v>
      </c>
    </row>
    <row r="159" spans="1:26" x14ac:dyDescent="0.25">
      <c r="E159" s="60" t="str">
        <f t="shared" ref="E159:R159" si="120" xml:space="preserve"> E$157</f>
        <v>Total True up Nominal revenue to company</v>
      </c>
      <c r="F159" s="225">
        <f t="shared" si="120"/>
        <v>0</v>
      </c>
      <c r="G159" s="225" t="str">
        <f t="shared" si="120"/>
        <v>£m</v>
      </c>
      <c r="H159" s="225">
        <f t="shared" si="120"/>
        <v>304.10715738113782</v>
      </c>
      <c r="I159" s="225">
        <f t="shared" si="120"/>
        <v>0</v>
      </c>
      <c r="J159" s="225">
        <f t="shared" si="120"/>
        <v>0</v>
      </c>
      <c r="K159" s="225">
        <f t="shared" si="120"/>
        <v>0</v>
      </c>
      <c r="L159" s="225">
        <f t="shared" si="120"/>
        <v>0</v>
      </c>
      <c r="M159" s="225">
        <f t="shared" si="120"/>
        <v>63.114123820798127</v>
      </c>
      <c r="N159" s="225">
        <f t="shared" si="120"/>
        <v>61.868907423253063</v>
      </c>
      <c r="O159" s="225">
        <f t="shared" si="120"/>
        <v>60.761123405034795</v>
      </c>
      <c r="P159" s="225">
        <f t="shared" si="120"/>
        <v>59.701886892939541</v>
      </c>
      <c r="Q159" s="225">
        <f t="shared" si="120"/>
        <v>58.661115839112298</v>
      </c>
      <c r="R159" s="225">
        <f t="shared" si="120"/>
        <v>0</v>
      </c>
    </row>
    <row r="160" spans="1:26" x14ac:dyDescent="0.25">
      <c r="E160" s="60" t="str">
        <f t="shared" ref="E160:R160" si="121" xml:space="preserve"> E$108</f>
        <v>Total nominal revenue company should have received</v>
      </c>
      <c r="F160" s="225">
        <f t="shared" si="121"/>
        <v>0</v>
      </c>
      <c r="G160" s="225" t="str">
        <f t="shared" si="121"/>
        <v>£m</v>
      </c>
      <c r="H160" s="225">
        <f t="shared" si="121"/>
        <v>310.78276928144822</v>
      </c>
      <c r="I160" s="225">
        <f t="shared" si="121"/>
        <v>0</v>
      </c>
      <c r="J160" s="225">
        <f t="shared" si="121"/>
        <v>0</v>
      </c>
      <c r="K160" s="225">
        <f t="shared" si="121"/>
        <v>0</v>
      </c>
      <c r="L160" s="225">
        <f t="shared" si="121"/>
        <v>0</v>
      </c>
      <c r="M160" s="225">
        <f t="shared" si="121"/>
        <v>62.883130587670067</v>
      </c>
      <c r="N160" s="225">
        <f t="shared" si="121"/>
        <v>62.329742284132749</v>
      </c>
      <c r="O160" s="225">
        <f t="shared" si="121"/>
        <v>63.008611315966206</v>
      </c>
      <c r="P160" s="225">
        <f t="shared" si="121"/>
        <v>61.850059991431507</v>
      </c>
      <c r="Q160" s="225">
        <f t="shared" si="121"/>
        <v>60.71122510224766</v>
      </c>
      <c r="R160" s="225">
        <f t="shared" si="121"/>
        <v>0</v>
      </c>
    </row>
    <row r="161" spans="1:16383" s="226" customFormat="1" x14ac:dyDescent="0.25">
      <c r="A161" s="306"/>
      <c r="B161" s="222"/>
      <c r="C161" s="223"/>
      <c r="D161" s="307"/>
      <c r="E161" s="60" t="s">
        <v>268</v>
      </c>
      <c r="G161" s="226" t="str">
        <f t="shared" ref="G161" si="122" xml:space="preserve"> G$153</f>
        <v>£m</v>
      </c>
      <c r="H161" s="226">
        <f xml:space="preserve"> SUM(J161:R161)</f>
        <v>6.6756119003103649</v>
      </c>
      <c r="J161" s="226">
        <f t="shared" ref="J161:K161" si="123">J160-J159</f>
        <v>0</v>
      </c>
      <c r="K161" s="226">
        <f t="shared" si="123"/>
        <v>0</v>
      </c>
      <c r="L161" s="226">
        <f>L160-L159</f>
        <v>0</v>
      </c>
      <c r="M161" s="226">
        <f>M160-M159</f>
        <v>-0.23099323312806064</v>
      </c>
      <c r="N161" s="226">
        <f t="shared" ref="N161:R161" si="124">N160-N159</f>
        <v>0.46083486087968595</v>
      </c>
      <c r="O161" s="226">
        <f t="shared" si="124"/>
        <v>2.2474879109314116</v>
      </c>
      <c r="P161" s="226">
        <f t="shared" si="124"/>
        <v>2.1481730984919665</v>
      </c>
      <c r="Q161" s="226">
        <f t="shared" si="124"/>
        <v>2.0501092631353615</v>
      </c>
      <c r="R161" s="226">
        <f t="shared" si="124"/>
        <v>0</v>
      </c>
    </row>
    <row r="163" spans="1:16383" s="125" customFormat="1" x14ac:dyDescent="0.25">
      <c r="A163" s="210"/>
      <c r="B163" s="204"/>
      <c r="C163" s="205"/>
      <c r="D163" s="211"/>
      <c r="E163" s="60" t="str">
        <f t="shared" ref="E163:R163" si="125" xml:space="preserve"> E$161</f>
        <v>Value of True up nominal</v>
      </c>
      <c r="F163" s="300">
        <f t="shared" si="125"/>
        <v>0</v>
      </c>
      <c r="G163" s="300" t="str">
        <f t="shared" si="125"/>
        <v>£m</v>
      </c>
      <c r="H163" s="300">
        <f t="shared" si="125"/>
        <v>6.6756119003103649</v>
      </c>
      <c r="I163" s="300">
        <f t="shared" si="125"/>
        <v>0</v>
      </c>
      <c r="J163" s="300">
        <f t="shared" si="125"/>
        <v>0</v>
      </c>
      <c r="K163" s="300">
        <f t="shared" si="125"/>
        <v>0</v>
      </c>
      <c r="L163" s="300">
        <f t="shared" si="125"/>
        <v>0</v>
      </c>
      <c r="M163" s="300">
        <f t="shared" si="125"/>
        <v>-0.23099323312806064</v>
      </c>
      <c r="N163" s="300">
        <f t="shared" si="125"/>
        <v>0.46083486087968595</v>
      </c>
      <c r="O163" s="300">
        <f t="shared" si="125"/>
        <v>2.2474879109314116</v>
      </c>
      <c r="P163" s="300">
        <f t="shared" si="125"/>
        <v>2.1481730984919665</v>
      </c>
      <c r="Q163" s="300">
        <f t="shared" si="125"/>
        <v>2.0501092631353615</v>
      </c>
      <c r="R163" s="300">
        <f t="shared" si="125"/>
        <v>0</v>
      </c>
      <c r="S163" s="126"/>
      <c r="T163" s="126"/>
      <c r="U163" s="126"/>
      <c r="V163" s="126"/>
      <c r="W163" s="126"/>
      <c r="X163" s="126"/>
      <c r="Y163" s="126"/>
      <c r="Z163" s="126"/>
    </row>
    <row r="164" spans="1:16383" s="125" customFormat="1" x14ac:dyDescent="0.25">
      <c r="A164" s="210"/>
      <c r="B164" s="204"/>
      <c r="C164" s="205"/>
      <c r="D164" s="211"/>
      <c r="E164" s="60" t="str">
        <f t="shared" ref="E164:R164" si="126" xml:space="preserve"> E$116</f>
        <v>Difference in nominal revenue</v>
      </c>
      <c r="F164" s="300">
        <f t="shared" si="126"/>
        <v>0</v>
      </c>
      <c r="G164" s="300" t="str">
        <f t="shared" si="126"/>
        <v>£m</v>
      </c>
      <c r="H164" s="300">
        <f t="shared" si="126"/>
        <v>6.6756119003103649</v>
      </c>
      <c r="I164" s="300">
        <f t="shared" si="126"/>
        <v>0</v>
      </c>
      <c r="J164" s="300">
        <f t="shared" si="126"/>
        <v>0</v>
      </c>
      <c r="K164" s="300">
        <f t="shared" si="126"/>
        <v>0</v>
      </c>
      <c r="L164" s="300">
        <f t="shared" si="126"/>
        <v>0</v>
      </c>
      <c r="M164" s="300">
        <f t="shared" si="126"/>
        <v>-0.23099323312806064</v>
      </c>
      <c r="N164" s="300">
        <f t="shared" si="126"/>
        <v>0.46083486087968595</v>
      </c>
      <c r="O164" s="300">
        <f t="shared" si="126"/>
        <v>2.2474879109314116</v>
      </c>
      <c r="P164" s="300">
        <f t="shared" si="126"/>
        <v>2.1481730984919665</v>
      </c>
      <c r="Q164" s="300">
        <f t="shared" si="126"/>
        <v>2.0501092631353615</v>
      </c>
      <c r="R164" s="300">
        <f t="shared" si="126"/>
        <v>0</v>
      </c>
      <c r="S164" s="126"/>
      <c r="T164" s="126"/>
      <c r="U164" s="126"/>
      <c r="V164" s="126"/>
      <c r="W164" s="126"/>
      <c r="X164" s="126"/>
      <c r="Y164" s="126"/>
      <c r="Z164" s="126"/>
    </row>
    <row r="165" spans="1:16383" s="259" customFormat="1" x14ac:dyDescent="0.25">
      <c r="A165" s="272"/>
      <c r="B165" s="256"/>
      <c r="C165" s="257"/>
      <c r="D165" s="258"/>
      <c r="E165" s="60" t="s">
        <v>165</v>
      </c>
      <c r="F165" s="273">
        <f>SUM(J165:R165)</f>
        <v>0</v>
      </c>
      <c r="G165" s="259" t="s">
        <v>128</v>
      </c>
      <c r="J165" s="349">
        <f>IF( ABS(J163-J164)&gt;ChK_Tol,1,0)</f>
        <v>0</v>
      </c>
      <c r="K165" s="273">
        <f t="shared" ref="K165:Q165" si="127">IF( ABS(K163-K164)&gt;ChK_Tol,1,0)</f>
        <v>0</v>
      </c>
      <c r="L165" s="273">
        <f t="shared" si="127"/>
        <v>0</v>
      </c>
      <c r="M165" s="273">
        <f t="shared" si="127"/>
        <v>0</v>
      </c>
      <c r="N165" s="273">
        <f t="shared" si="127"/>
        <v>0</v>
      </c>
      <c r="O165" s="273">
        <f t="shared" si="127"/>
        <v>0</v>
      </c>
      <c r="P165" s="273">
        <f t="shared" si="127"/>
        <v>0</v>
      </c>
      <c r="Q165" s="273">
        <f t="shared" si="127"/>
        <v>0</v>
      </c>
      <c r="R165" s="273">
        <f>IF( ABS(R163-R164)&gt;ChK_Tol,1,0)</f>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5">
      <c r="E166" s="207"/>
      <c r="F166" s="207"/>
      <c r="G166" s="207"/>
      <c r="H166" s="207"/>
      <c r="I166" s="207"/>
      <c r="J166" s="207"/>
      <c r="K166" s="207"/>
      <c r="L166" s="207"/>
      <c r="M166" s="227" t="b">
        <f xml:space="preserve"> M163=M164</f>
        <v>1</v>
      </c>
      <c r="N166" s="227" t="b">
        <f t="shared" ref="N166:Q166" si="128" xml:space="preserve"> N163=N164</f>
        <v>1</v>
      </c>
      <c r="O166" s="227" t="b">
        <f t="shared" si="128"/>
        <v>1</v>
      </c>
      <c r="P166" s="227" t="b">
        <f t="shared" si="128"/>
        <v>1</v>
      </c>
      <c r="Q166" s="227" t="b">
        <f t="shared" si="128"/>
        <v>1</v>
      </c>
    </row>
    <row r="167" spans="1:16383" x14ac:dyDescent="0.25">
      <c r="A167" s="69" t="s">
        <v>278</v>
      </c>
      <c r="B167" s="69"/>
    </row>
    <row r="169" spans="1:16383" x14ac:dyDescent="0.25">
      <c r="E169" s="56" t="str">
        <f>E$42 &amp; " - nominal"</f>
        <v>Forecast RCV average balance - nominal</v>
      </c>
      <c r="F169" s="225">
        <f t="shared" ref="F169:R169" si="129">F$42</f>
        <v>0</v>
      </c>
      <c r="G169" s="56" t="str">
        <f t="shared" si="129"/>
        <v>£m</v>
      </c>
      <c r="H169" s="299">
        <f t="shared" si="129"/>
        <v>0</v>
      </c>
      <c r="I169" s="299">
        <f t="shared" si="129"/>
        <v>0</v>
      </c>
      <c r="J169" s="225">
        <f t="shared" si="129"/>
        <v>0</v>
      </c>
      <c r="K169" s="225">
        <f t="shared" si="129"/>
        <v>0</v>
      </c>
      <c r="L169" s="225">
        <f t="shared" si="129"/>
        <v>442.98537294878417</v>
      </c>
      <c r="M169" s="226">
        <f t="shared" si="129"/>
        <v>885.72897353732651</v>
      </c>
      <c r="N169" s="225">
        <f t="shared" si="129"/>
        <v>868.25389545874941</v>
      </c>
      <c r="O169" s="225">
        <f t="shared" si="129"/>
        <v>852.70751151236891</v>
      </c>
      <c r="P169" s="225">
        <f t="shared" si="129"/>
        <v>837.84243200567676</v>
      </c>
      <c r="Q169" s="225">
        <f t="shared" si="129"/>
        <v>823.23649245700813</v>
      </c>
      <c r="R169" s="225">
        <f t="shared" si="129"/>
        <v>827.12726643344786</v>
      </c>
    </row>
    <row r="170" spans="1:16383" x14ac:dyDescent="0.25">
      <c r="E170" s="56" t="str">
        <f>E$93 &amp; " - nominal"</f>
        <v>Actual average RCV balance - nominal</v>
      </c>
      <c r="F170" s="225">
        <f t="shared" ref="F170:R170" si="130">F$93</f>
        <v>0</v>
      </c>
      <c r="G170" s="56" t="str">
        <f t="shared" si="130"/>
        <v>£m</v>
      </c>
      <c r="H170" s="299">
        <f t="shared" si="130"/>
        <v>0</v>
      </c>
      <c r="I170" s="299">
        <f t="shared" si="130"/>
        <v>0</v>
      </c>
      <c r="J170" s="225">
        <f t="shared" si="130"/>
        <v>0</v>
      </c>
      <c r="K170" s="225">
        <f t="shared" si="130"/>
        <v>0</v>
      </c>
      <c r="L170" s="225">
        <f t="shared" si="130"/>
        <v>442.98537294878417</v>
      </c>
      <c r="M170" s="226">
        <f t="shared" si="130"/>
        <v>882.48726808557217</v>
      </c>
      <c r="N170" s="225">
        <f t="shared" si="130"/>
        <v>874.72114499953568</v>
      </c>
      <c r="O170" s="225">
        <f t="shared" si="130"/>
        <v>884.24823551954978</v>
      </c>
      <c r="P170" s="225">
        <f t="shared" si="130"/>
        <v>867.9893949724792</v>
      </c>
      <c r="Q170" s="225">
        <f t="shared" si="130"/>
        <v>852.00725030563194</v>
      </c>
      <c r="R170" s="225">
        <f t="shared" si="130"/>
        <v>856.03400041644488</v>
      </c>
    </row>
    <row r="171" spans="1:16383" s="236" customFormat="1" x14ac:dyDescent="0.25">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5">
      <c r="A172" s="210"/>
      <c r="B172" s="204"/>
      <c r="C172" s="205"/>
      <c r="D172" s="211"/>
      <c r="E172" s="56" t="str">
        <f>E$42 &amp; " - real"</f>
        <v>Forecast RCV average balance - real</v>
      </c>
      <c r="F172" s="225"/>
      <c r="G172" s="225" t="s">
        <v>88</v>
      </c>
      <c r="H172" s="295"/>
      <c r="I172" s="225"/>
      <c r="J172" s="225">
        <f t="shared" ref="J172:R172" si="131" xml:space="preserve"> IF(J$171 = 0, 0, J169 / J$171)</f>
        <v>0</v>
      </c>
      <c r="K172" s="225">
        <f t="shared" si="131"/>
        <v>0</v>
      </c>
      <c r="L172" s="225">
        <f t="shared" si="131"/>
        <v>425.29198447765003</v>
      </c>
      <c r="M172" s="225">
        <f t="shared" si="131"/>
        <v>833.81428054869343</v>
      </c>
      <c r="N172" s="225">
        <f t="shared" si="131"/>
        <v>801.30374250878072</v>
      </c>
      <c r="O172" s="225">
        <f t="shared" si="131"/>
        <v>770.95778505810279</v>
      </c>
      <c r="P172" s="225">
        <f t="shared" si="131"/>
        <v>741.93715199093253</v>
      </c>
      <c r="Q172" s="225">
        <f t="shared" si="131"/>
        <v>714.00892263242304</v>
      </c>
      <c r="R172" s="225">
        <f t="shared" si="131"/>
        <v>703.31712363606459</v>
      </c>
      <c r="S172" s="126"/>
      <c r="T172" s="126"/>
      <c r="U172" s="126"/>
      <c r="V172" s="126"/>
      <c r="W172" s="126"/>
      <c r="X172" s="126"/>
      <c r="Y172" s="126"/>
      <c r="Z172" s="126"/>
    </row>
    <row r="173" spans="1:16383" s="125" customFormat="1" x14ac:dyDescent="0.25">
      <c r="A173" s="210"/>
      <c r="B173" s="204"/>
      <c r="C173" s="205"/>
      <c r="D173" s="211"/>
      <c r="E173" s="56" t="str">
        <f>E$93 &amp; " - real"</f>
        <v>Actual average RCV balance - real</v>
      </c>
      <c r="F173" s="225"/>
      <c r="G173" s="225" t="s">
        <v>88</v>
      </c>
      <c r="H173" s="295"/>
      <c r="I173" s="225"/>
      <c r="J173" s="225">
        <f t="shared" ref="J173:R173" si="132" xml:space="preserve"> IF(J$171 = 0, 0, J170 / J$171)</f>
        <v>0</v>
      </c>
      <c r="K173" s="225">
        <f t="shared" si="132"/>
        <v>0</v>
      </c>
      <c r="L173" s="225">
        <f t="shared" si="132"/>
        <v>425.29198447765003</v>
      </c>
      <c r="M173" s="225">
        <f t="shared" si="132"/>
        <v>830.76257920464639</v>
      </c>
      <c r="N173" s="225">
        <f t="shared" si="132"/>
        <v>807.27230917790257</v>
      </c>
      <c r="O173" s="225">
        <f t="shared" si="132"/>
        <v>799.47467554095658</v>
      </c>
      <c r="P173" s="225">
        <f t="shared" si="132"/>
        <v>768.63328361465767</v>
      </c>
      <c r="Q173" s="225">
        <f t="shared" si="132"/>
        <v>738.96235703801335</v>
      </c>
      <c r="R173" s="225">
        <f t="shared" si="132"/>
        <v>727.89689729810254</v>
      </c>
      <c r="S173" s="126"/>
      <c r="T173" s="126"/>
      <c r="U173" s="126"/>
      <c r="V173" s="126"/>
      <c r="W173" s="126"/>
      <c r="X173" s="126"/>
      <c r="Y173" s="126"/>
      <c r="Z173" s="126"/>
    </row>
    <row r="174" spans="1:16383" s="125" customFormat="1" x14ac:dyDescent="0.25">
      <c r="A174" s="210"/>
      <c r="B174" s="204"/>
      <c r="C174" s="205"/>
      <c r="D174" s="211"/>
      <c r="E174" s="56" t="s">
        <v>277</v>
      </c>
      <c r="F174" s="225"/>
      <c r="G174" s="225" t="s">
        <v>88</v>
      </c>
      <c r="H174" s="295"/>
      <c r="I174" s="225"/>
      <c r="J174" s="226">
        <f>J173-J172</f>
        <v>0</v>
      </c>
      <c r="K174" s="226">
        <f t="shared" ref="K174:R174" si="133">K173-K172</f>
        <v>0</v>
      </c>
      <c r="L174" s="226">
        <f t="shared" si="133"/>
        <v>0</v>
      </c>
      <c r="M174" s="226">
        <f t="shared" si="133"/>
        <v>-3.0517013440470464</v>
      </c>
      <c r="N174" s="226">
        <f t="shared" si="133"/>
        <v>5.9685666691218557</v>
      </c>
      <c r="O174" s="226">
        <f t="shared" si="133"/>
        <v>28.516890482853796</v>
      </c>
      <c r="P174" s="226">
        <f t="shared" si="133"/>
        <v>26.696131623725137</v>
      </c>
      <c r="Q174" s="226">
        <f t="shared" si="133"/>
        <v>24.953434405590315</v>
      </c>
      <c r="R174" s="226">
        <f t="shared" si="133"/>
        <v>24.579773662037951</v>
      </c>
      <c r="S174" s="126"/>
      <c r="T174" s="126"/>
      <c r="U174" s="126"/>
      <c r="V174" s="126"/>
      <c r="W174" s="126"/>
      <c r="X174" s="126"/>
      <c r="Y174" s="126"/>
      <c r="Z174" s="126"/>
    </row>
    <row r="175" spans="1:16383" s="125" customFormat="1" x14ac:dyDescent="0.25">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5">
      <c r="A176" s="210"/>
      <c r="B176" s="204"/>
      <c r="C176" s="205"/>
      <c r="D176" s="211"/>
      <c r="E176" s="56" t="str">
        <f>E$174</f>
        <v>Difference RCV average - real</v>
      </c>
      <c r="F176" s="225">
        <f t="shared" ref="F176:R176" si="134">F$174</f>
        <v>0</v>
      </c>
      <c r="G176" s="225" t="str">
        <f t="shared" si="134"/>
        <v>£m</v>
      </c>
      <c r="H176" s="295">
        <f t="shared" si="134"/>
        <v>0</v>
      </c>
      <c r="I176" s="225">
        <f t="shared" si="134"/>
        <v>0</v>
      </c>
      <c r="J176" s="226">
        <f t="shared" si="134"/>
        <v>0</v>
      </c>
      <c r="K176" s="226">
        <f t="shared" si="134"/>
        <v>0</v>
      </c>
      <c r="L176" s="226">
        <f t="shared" si="134"/>
        <v>0</v>
      </c>
      <c r="M176" s="226">
        <f t="shared" si="134"/>
        <v>-3.0517013440470464</v>
      </c>
      <c r="N176" s="226">
        <f t="shared" si="134"/>
        <v>5.9685666691218557</v>
      </c>
      <c r="O176" s="226">
        <f t="shared" si="134"/>
        <v>28.516890482853796</v>
      </c>
      <c r="P176" s="226">
        <f t="shared" si="134"/>
        <v>26.696131623725137</v>
      </c>
      <c r="Q176" s="226">
        <f t="shared" si="134"/>
        <v>24.953434405590315</v>
      </c>
      <c r="R176" s="226">
        <f t="shared" si="134"/>
        <v>24.579773662037951</v>
      </c>
      <c r="S176" s="126"/>
      <c r="T176" s="126"/>
      <c r="U176" s="126"/>
      <c r="V176" s="126"/>
      <c r="W176" s="126"/>
      <c r="X176" s="126"/>
      <c r="Y176" s="126"/>
      <c r="Z176" s="126"/>
    </row>
    <row r="177" spans="1:26" s="126" customFormat="1" x14ac:dyDescent="0.25">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5">
      <c r="A178" s="326"/>
      <c r="B178" s="327"/>
      <c r="C178" s="328"/>
      <c r="D178" s="329"/>
      <c r="E178" s="44" t="s">
        <v>358</v>
      </c>
      <c r="F178" s="325"/>
      <c r="G178" s="325" t="s">
        <v>88</v>
      </c>
      <c r="H178" s="324"/>
      <c r="I178" s="325"/>
      <c r="J178" s="325">
        <f xml:space="preserve"> J176 * J177</f>
        <v>0</v>
      </c>
      <c r="K178" s="325">
        <f t="shared" ref="K178:R178" si="135" xml:space="preserve"> K176 * K177</f>
        <v>0</v>
      </c>
      <c r="L178" s="325">
        <f t="shared" si="135"/>
        <v>0</v>
      </c>
      <c r="M178" s="325">
        <f t="shared" si="135"/>
        <v>0</v>
      </c>
      <c r="N178" s="325">
        <f t="shared" si="135"/>
        <v>0</v>
      </c>
      <c r="O178" s="325">
        <f t="shared" si="135"/>
        <v>0</v>
      </c>
      <c r="P178" s="325">
        <f t="shared" si="135"/>
        <v>0</v>
      </c>
      <c r="Q178" s="325">
        <f t="shared" si="135"/>
        <v>24.953434405590315</v>
      </c>
      <c r="R178" s="325">
        <f t="shared" si="135"/>
        <v>0</v>
      </c>
      <c r="S178" s="129"/>
      <c r="T178" s="129"/>
      <c r="U178" s="129"/>
      <c r="V178" s="129"/>
      <c r="W178" s="129"/>
      <c r="X178" s="129"/>
      <c r="Y178" s="129"/>
      <c r="Z178" s="129"/>
    </row>
    <row r="179" spans="1:26" x14ac:dyDescent="0.25">
      <c r="H179" s="225"/>
      <c r="J179" s="225"/>
      <c r="K179" s="225"/>
      <c r="L179" s="225"/>
      <c r="M179" s="226"/>
      <c r="N179" s="225"/>
      <c r="O179" s="225"/>
      <c r="P179" s="225"/>
      <c r="Q179" s="225"/>
      <c r="R179" s="225"/>
    </row>
    <row r="180" spans="1:26" x14ac:dyDescent="0.25">
      <c r="A180" s="69" t="s">
        <v>279</v>
      </c>
      <c r="B180" s="69"/>
    </row>
    <row r="182" spans="1:26" s="125" customFormat="1" x14ac:dyDescent="0.25">
      <c r="A182" s="210"/>
      <c r="B182" s="204"/>
      <c r="C182" s="205"/>
      <c r="D182" s="211"/>
      <c r="E182" s="60" t="str">
        <f>E$135</f>
        <v>True up Nominal RCV run-off</v>
      </c>
      <c r="F182" s="225">
        <f t="shared" ref="F182:R182" si="136">F$135</f>
        <v>0</v>
      </c>
      <c r="G182" s="225" t="str">
        <f t="shared" si="136"/>
        <v>£m</v>
      </c>
      <c r="H182" s="225">
        <f t="shared" si="136"/>
        <v>0</v>
      </c>
      <c r="I182" s="225">
        <f t="shared" si="136"/>
        <v>0</v>
      </c>
      <c r="J182" s="225">
        <f t="shared" si="136"/>
        <v>0</v>
      </c>
      <c r="K182" s="225">
        <f t="shared" si="136"/>
        <v>0</v>
      </c>
      <c r="L182" s="225">
        <f t="shared" si="136"/>
        <v>0</v>
      </c>
      <c r="M182" s="226">
        <f t="shared" si="136"/>
        <v>43.467463585306021</v>
      </c>
      <c r="N182" s="225">
        <f t="shared" si="136"/>
        <v>42.609867929382816</v>
      </c>
      <c r="O182" s="225">
        <f t="shared" si="136"/>
        <v>41.846923622194019</v>
      </c>
      <c r="P182" s="225">
        <f t="shared" si="136"/>
        <v>41.117414572073059</v>
      </c>
      <c r="Q182" s="225">
        <f t="shared" si="136"/>
        <v>40.400622907321022</v>
      </c>
      <c r="R182" s="225">
        <f t="shared" si="136"/>
        <v>0</v>
      </c>
      <c r="S182" s="126"/>
      <c r="T182" s="126"/>
      <c r="U182" s="126"/>
      <c r="V182" s="126"/>
      <c r="W182" s="126"/>
      <c r="X182" s="126"/>
      <c r="Y182" s="126"/>
      <c r="Z182" s="126"/>
    </row>
    <row r="183" spans="1:26" s="125" customFormat="1" x14ac:dyDescent="0.25">
      <c r="A183" s="210"/>
      <c r="B183" s="204"/>
      <c r="C183" s="205"/>
      <c r="D183" s="211"/>
      <c r="E183" s="60" t="str">
        <f>E$153</f>
        <v>True up Nominal return</v>
      </c>
      <c r="F183" s="225">
        <f t="shared" ref="F183:R183" si="137">F$153</f>
        <v>0</v>
      </c>
      <c r="G183" s="225" t="str">
        <f t="shared" si="137"/>
        <v>£m</v>
      </c>
      <c r="H183" s="225">
        <f t="shared" si="137"/>
        <v>0</v>
      </c>
      <c r="I183" s="225">
        <f t="shared" si="137"/>
        <v>0</v>
      </c>
      <c r="J183" s="225">
        <f t="shared" si="137"/>
        <v>0</v>
      </c>
      <c r="K183" s="225">
        <f t="shared" si="137"/>
        <v>0</v>
      </c>
      <c r="L183" s="225">
        <f t="shared" si="137"/>
        <v>0</v>
      </c>
      <c r="M183" s="225">
        <f t="shared" si="137"/>
        <v>19.646660235492103</v>
      </c>
      <c r="N183" s="225">
        <f t="shared" si="137"/>
        <v>19.259039493870247</v>
      </c>
      <c r="O183" s="225">
        <f t="shared" si="137"/>
        <v>18.914199782840772</v>
      </c>
      <c r="P183" s="225">
        <f t="shared" si="137"/>
        <v>18.584472320866482</v>
      </c>
      <c r="Q183" s="225">
        <f t="shared" si="137"/>
        <v>18.26049293179128</v>
      </c>
      <c r="R183" s="225">
        <f t="shared" si="137"/>
        <v>0</v>
      </c>
      <c r="S183" s="126"/>
      <c r="T183" s="126"/>
      <c r="U183" s="126"/>
      <c r="V183" s="126"/>
      <c r="W183" s="126"/>
      <c r="X183" s="126"/>
      <c r="Y183" s="126"/>
      <c r="Z183" s="126"/>
    </row>
    <row r="184" spans="1:26" s="125" customFormat="1" x14ac:dyDescent="0.25">
      <c r="A184" s="210"/>
      <c r="B184" s="204"/>
      <c r="C184" s="205"/>
      <c r="D184" s="211"/>
      <c r="E184" s="60" t="str">
        <f>E$157</f>
        <v>Total True up Nominal revenue to company</v>
      </c>
      <c r="F184" s="225">
        <f t="shared" ref="F184:R184" si="138">F$157</f>
        <v>0</v>
      </c>
      <c r="G184" s="225" t="str">
        <f t="shared" si="138"/>
        <v>£m</v>
      </c>
      <c r="H184" s="225">
        <f t="shared" si="138"/>
        <v>304.10715738113782</v>
      </c>
      <c r="I184" s="225">
        <f t="shared" si="138"/>
        <v>0</v>
      </c>
      <c r="J184" s="225">
        <f t="shared" si="138"/>
        <v>0</v>
      </c>
      <c r="K184" s="225">
        <f t="shared" si="138"/>
        <v>0</v>
      </c>
      <c r="L184" s="225">
        <f t="shared" si="138"/>
        <v>0</v>
      </c>
      <c r="M184" s="225">
        <f t="shared" si="138"/>
        <v>63.114123820798127</v>
      </c>
      <c r="N184" s="225">
        <f t="shared" si="138"/>
        <v>61.868907423253063</v>
      </c>
      <c r="O184" s="225">
        <f t="shared" si="138"/>
        <v>60.761123405034795</v>
      </c>
      <c r="P184" s="225">
        <f t="shared" si="138"/>
        <v>59.701886892939541</v>
      </c>
      <c r="Q184" s="225">
        <f t="shared" si="138"/>
        <v>58.661115839112298</v>
      </c>
      <c r="R184" s="225">
        <f t="shared" si="138"/>
        <v>0</v>
      </c>
      <c r="S184" s="126"/>
      <c r="T184" s="126"/>
      <c r="U184" s="126"/>
      <c r="V184" s="126"/>
      <c r="W184" s="126"/>
      <c r="X184" s="126"/>
      <c r="Y184" s="126"/>
      <c r="Z184" s="126"/>
    </row>
    <row r="185" spans="1:26" s="125" customFormat="1" x14ac:dyDescent="0.25">
      <c r="A185" s="210"/>
      <c r="B185" s="204"/>
      <c r="C185" s="205"/>
      <c r="D185" s="211"/>
      <c r="E185" s="60" t="str">
        <f>E$106</f>
        <v>RCV run-off company should have received</v>
      </c>
      <c r="F185" s="225">
        <f t="shared" ref="F185:R185" si="139">F$106</f>
        <v>0</v>
      </c>
      <c r="G185" s="225" t="str">
        <f t="shared" si="139"/>
        <v>£m</v>
      </c>
      <c r="H185" s="225">
        <f t="shared" si="139"/>
        <v>0</v>
      </c>
      <c r="I185" s="225">
        <f t="shared" si="139"/>
        <v>0</v>
      </c>
      <c r="J185" s="225">
        <f t="shared" si="139"/>
        <v>0</v>
      </c>
      <c r="K185" s="225">
        <f t="shared" si="139"/>
        <v>0</v>
      </c>
      <c r="L185" s="225">
        <f t="shared" si="139"/>
        <v>0</v>
      </c>
      <c r="M185" s="225">
        <f t="shared" si="139"/>
        <v>43.308375740278578</v>
      </c>
      <c r="N185" s="225">
        <f t="shared" si="139"/>
        <v>42.927250494828904</v>
      </c>
      <c r="O185" s="225">
        <f t="shared" si="139"/>
        <v>43.394795841797482</v>
      </c>
      <c r="P185" s="225">
        <f t="shared" si="139"/>
        <v>42.59688747418857</v>
      </c>
      <c r="Q185" s="225">
        <f t="shared" si="139"/>
        <v>41.812558055058417</v>
      </c>
      <c r="R185" s="225">
        <f t="shared" si="139"/>
        <v>0</v>
      </c>
      <c r="S185" s="126"/>
      <c r="T185" s="126"/>
      <c r="U185" s="126"/>
      <c r="V185" s="126"/>
      <c r="W185" s="126"/>
      <c r="X185" s="126"/>
      <c r="Y185" s="126"/>
      <c r="Z185" s="126"/>
    </row>
    <row r="186" spans="1:26" s="125" customFormat="1" x14ac:dyDescent="0.25">
      <c r="A186" s="210"/>
      <c r="B186" s="204"/>
      <c r="C186" s="205"/>
      <c r="D186" s="211"/>
      <c r="E186" s="60" t="str">
        <f>E$107</f>
        <v>Nominal return company should have received</v>
      </c>
      <c r="F186" s="225">
        <f t="shared" ref="F186:R186" si="140">F$107</f>
        <v>0</v>
      </c>
      <c r="G186" s="225" t="str">
        <f t="shared" si="140"/>
        <v>£m</v>
      </c>
      <c r="H186" s="225">
        <f t="shared" si="140"/>
        <v>0</v>
      </c>
      <c r="I186" s="225">
        <f t="shared" si="140"/>
        <v>0</v>
      </c>
      <c r="J186" s="225">
        <f t="shared" si="140"/>
        <v>0</v>
      </c>
      <c r="K186" s="225">
        <f t="shared" si="140"/>
        <v>0</v>
      </c>
      <c r="L186" s="225">
        <f t="shared" si="140"/>
        <v>0</v>
      </c>
      <c r="M186" s="225">
        <f t="shared" si="140"/>
        <v>19.574754847391489</v>
      </c>
      <c r="N186" s="225">
        <f t="shared" si="140"/>
        <v>19.402491789303841</v>
      </c>
      <c r="O186" s="225">
        <f t="shared" si="140"/>
        <v>19.613815474168721</v>
      </c>
      <c r="P186" s="225">
        <f t="shared" si="140"/>
        <v>19.253172517242941</v>
      </c>
      <c r="Q186" s="225">
        <f t="shared" si="140"/>
        <v>18.898667047189242</v>
      </c>
      <c r="R186" s="225">
        <f t="shared" si="140"/>
        <v>0</v>
      </c>
      <c r="S186" s="126"/>
      <c r="T186" s="126"/>
      <c r="U186" s="126"/>
      <c r="V186" s="126"/>
      <c r="W186" s="126"/>
      <c r="X186" s="126"/>
      <c r="Y186" s="126"/>
      <c r="Z186" s="126"/>
    </row>
    <row r="187" spans="1:26" s="125" customFormat="1" x14ac:dyDescent="0.25">
      <c r="A187" s="210"/>
      <c r="B187" s="204"/>
      <c r="C187" s="205"/>
      <c r="D187" s="211"/>
      <c r="E187" s="60" t="str">
        <f>E$108</f>
        <v>Total nominal revenue company should have received</v>
      </c>
      <c r="F187" s="225">
        <f t="shared" ref="F187:R187" si="141">F$108</f>
        <v>0</v>
      </c>
      <c r="G187" s="225" t="str">
        <f t="shared" si="141"/>
        <v>£m</v>
      </c>
      <c r="H187" s="225">
        <f t="shared" si="141"/>
        <v>310.78276928144822</v>
      </c>
      <c r="I187" s="225">
        <f t="shared" si="141"/>
        <v>0</v>
      </c>
      <c r="J187" s="225">
        <f t="shared" si="141"/>
        <v>0</v>
      </c>
      <c r="K187" s="225">
        <f t="shared" si="141"/>
        <v>0</v>
      </c>
      <c r="L187" s="225">
        <f t="shared" si="141"/>
        <v>0</v>
      </c>
      <c r="M187" s="225">
        <f t="shared" si="141"/>
        <v>62.883130587670067</v>
      </c>
      <c r="N187" s="225">
        <f t="shared" si="141"/>
        <v>62.329742284132749</v>
      </c>
      <c r="O187" s="225">
        <f t="shared" si="141"/>
        <v>63.008611315966206</v>
      </c>
      <c r="P187" s="225">
        <f t="shared" si="141"/>
        <v>61.850059991431507</v>
      </c>
      <c r="Q187" s="225">
        <f t="shared" si="141"/>
        <v>60.71122510224766</v>
      </c>
      <c r="R187" s="225">
        <f t="shared" si="141"/>
        <v>0</v>
      </c>
      <c r="S187" s="126"/>
      <c r="T187" s="126"/>
      <c r="U187" s="126"/>
      <c r="V187" s="126"/>
      <c r="W187" s="126"/>
      <c r="X187" s="126"/>
      <c r="Y187" s="126"/>
      <c r="Z187" s="126"/>
    </row>
    <row r="188" spans="1:26" s="253" customFormat="1" x14ac:dyDescent="0.25">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5">
      <c r="A189" s="210"/>
      <c r="B189" s="204"/>
      <c r="C189" s="205"/>
      <c r="D189" s="211"/>
      <c r="E189" s="60" t="str">
        <f t="shared" ref="E189:E194" si="142" xml:space="preserve"> E182 &amp; "- real"</f>
        <v>True up Nominal RCV run-off- real</v>
      </c>
      <c r="F189" s="225"/>
      <c r="G189" s="225" t="str">
        <f t="shared" ref="G189:G194" si="143">G$155</f>
        <v>£m</v>
      </c>
      <c r="H189" s="295">
        <f t="shared" ref="H189:H194" si="144">SUM(J189:R189)</f>
        <v>189.5300939328875</v>
      </c>
      <c r="I189" s="225"/>
      <c r="J189" s="225">
        <f t="shared" ref="J189:R189" si="145" xml:space="preserve"> IF(J$188 = 0, 0, J182 / J$188)</f>
        <v>0</v>
      </c>
      <c r="K189" s="225">
        <f t="shared" si="145"/>
        <v>0</v>
      </c>
      <c r="L189" s="225">
        <f t="shared" si="145"/>
        <v>0</v>
      </c>
      <c r="M189" s="226">
        <f t="shared" si="145"/>
        <v>40.919731610350304</v>
      </c>
      <c r="N189" s="225">
        <f t="shared" si="145"/>
        <v>39.324265423052708</v>
      </c>
      <c r="O189" s="225">
        <f t="shared" si="145"/>
        <v>37.835026796048481</v>
      </c>
      <c r="P189" s="225">
        <f t="shared" si="145"/>
        <v>36.410828933318641</v>
      </c>
      <c r="Q189" s="225">
        <f t="shared" si="145"/>
        <v>35.040241170117369</v>
      </c>
      <c r="R189" s="225">
        <f t="shared" si="145"/>
        <v>0</v>
      </c>
      <c r="S189" s="126"/>
      <c r="T189" s="126"/>
      <c r="U189" s="126"/>
      <c r="V189" s="126"/>
      <c r="W189" s="126"/>
      <c r="X189" s="126"/>
      <c r="Y189" s="126"/>
      <c r="Z189" s="126"/>
    </row>
    <row r="190" spans="1:26" s="125" customFormat="1" x14ac:dyDescent="0.25">
      <c r="A190" s="210"/>
      <c r="B190" s="204"/>
      <c r="C190" s="205"/>
      <c r="D190" s="211"/>
      <c r="E190" s="60" t="str">
        <f t="shared" si="142"/>
        <v>True up Nominal return- real</v>
      </c>
      <c r="F190" s="225"/>
      <c r="G190" s="225" t="str">
        <f t="shared" si="143"/>
        <v>£m</v>
      </c>
      <c r="H190" s="295">
        <f t="shared" si="144"/>
        <v>85.664841073429969</v>
      </c>
      <c r="I190" s="225"/>
      <c r="J190" s="225">
        <f t="shared" ref="J190:R190" si="146" xml:space="preserve"> IF(J$188 = 0, 0, J183 / J$188)</f>
        <v>0</v>
      </c>
      <c r="K190" s="225">
        <f t="shared" si="146"/>
        <v>0</v>
      </c>
      <c r="L190" s="225">
        <f t="shared" si="146"/>
        <v>0</v>
      </c>
      <c r="M190" s="226">
        <f t="shared" si="146"/>
        <v>18.495122502336336</v>
      </c>
      <c r="N190" s="225">
        <f xml:space="preserve"> IF(N$188 = 0, 0, N183 / N$188)</f>
        <v>17.773995031037362</v>
      </c>
      <c r="O190" s="225">
        <f t="shared" si="146"/>
        <v>17.100880869294244</v>
      </c>
      <c r="P190" s="225">
        <f t="shared" si="146"/>
        <v>16.457164185382975</v>
      </c>
      <c r="Q190" s="225">
        <f t="shared" si="146"/>
        <v>15.837678485379048</v>
      </c>
      <c r="R190" s="225">
        <f t="shared" si="146"/>
        <v>0</v>
      </c>
      <c r="S190" s="126"/>
      <c r="T190" s="126"/>
      <c r="U190" s="126"/>
      <c r="V190" s="126"/>
      <c r="W190" s="126"/>
      <c r="X190" s="126"/>
      <c r="Y190" s="126"/>
      <c r="Z190" s="126"/>
    </row>
    <row r="191" spans="1:26" s="125" customFormat="1" x14ac:dyDescent="0.25">
      <c r="A191" s="210"/>
      <c r="B191" s="204"/>
      <c r="C191" s="205"/>
      <c r="D191" s="211"/>
      <c r="E191" s="60" t="str">
        <f t="shared" si="142"/>
        <v>Total True up Nominal revenue to company- real</v>
      </c>
      <c r="F191" s="225"/>
      <c r="G191" s="225" t="str">
        <f t="shared" si="143"/>
        <v>£m</v>
      </c>
      <c r="H191" s="295">
        <f t="shared" si="144"/>
        <v>275.19493500631745</v>
      </c>
      <c r="I191" s="225"/>
      <c r="J191" s="225">
        <f t="shared" ref="J191:R191" si="147" xml:space="preserve"> IF(J$188 = 0, 0, J184 / J$188)</f>
        <v>0</v>
      </c>
      <c r="K191" s="225">
        <f t="shared" si="147"/>
        <v>0</v>
      </c>
      <c r="L191" s="225">
        <f t="shared" si="147"/>
        <v>0</v>
      </c>
      <c r="M191" s="226">
        <f t="shared" si="147"/>
        <v>59.414854112686648</v>
      </c>
      <c r="N191" s="225">
        <f t="shared" si="147"/>
        <v>57.098260454090074</v>
      </c>
      <c r="O191" s="225">
        <f t="shared" si="147"/>
        <v>54.935907665342732</v>
      </c>
      <c r="P191" s="225">
        <f t="shared" si="147"/>
        <v>52.867993118701619</v>
      </c>
      <c r="Q191" s="225">
        <f t="shared" si="147"/>
        <v>50.877919655496413</v>
      </c>
      <c r="R191" s="225">
        <f t="shared" si="147"/>
        <v>0</v>
      </c>
      <c r="S191" s="126"/>
      <c r="T191" s="126"/>
      <c r="U191" s="126"/>
      <c r="V191" s="126"/>
      <c r="W191" s="126"/>
      <c r="X191" s="126"/>
      <c r="Y191" s="126"/>
      <c r="Z191" s="126"/>
    </row>
    <row r="192" spans="1:26" s="125" customFormat="1" x14ac:dyDescent="0.25">
      <c r="A192" s="210"/>
      <c r="B192" s="204"/>
      <c r="C192" s="205"/>
      <c r="D192" s="211"/>
      <c r="E192" s="60" t="str">
        <f t="shared" si="142"/>
        <v>RCV run-off company should have received- real</v>
      </c>
      <c r="F192" s="225"/>
      <c r="G192" s="225" t="str">
        <f t="shared" si="143"/>
        <v>£m</v>
      </c>
      <c r="H192" s="295">
        <f t="shared" si="144"/>
        <v>193.60743742554052</v>
      </c>
      <c r="I192" s="225"/>
      <c r="J192" s="225">
        <f t="shared" ref="J192:R192" si="148" xml:space="preserve"> IF(J$188 = 0, 0, J185 / J$188)</f>
        <v>0</v>
      </c>
      <c r="K192" s="225">
        <f t="shared" si="148"/>
        <v>0</v>
      </c>
      <c r="L192" s="225">
        <f t="shared" si="148"/>
        <v>0</v>
      </c>
      <c r="M192" s="226">
        <f t="shared" si="148"/>
        <v>40.76996828431183</v>
      </c>
      <c r="N192" s="225">
        <f t="shared" si="148"/>
        <v>39.617174949666023</v>
      </c>
      <c r="O192" s="225">
        <f t="shared" si="148"/>
        <v>39.234503312752238</v>
      </c>
      <c r="P192" s="225">
        <f t="shared" si="148"/>
        <v>37.720951063103428</v>
      </c>
      <c r="Q192" s="225">
        <f t="shared" si="148"/>
        <v>36.26483981570702</v>
      </c>
      <c r="R192" s="225">
        <f t="shared" si="148"/>
        <v>0</v>
      </c>
      <c r="S192" s="126"/>
      <c r="T192" s="126"/>
      <c r="U192" s="126"/>
      <c r="V192" s="126"/>
      <c r="W192" s="126"/>
      <c r="X192" s="126"/>
      <c r="Y192" s="126"/>
      <c r="Z192" s="126"/>
    </row>
    <row r="193" spans="1:26" s="125" customFormat="1" x14ac:dyDescent="0.25">
      <c r="A193" s="210"/>
      <c r="B193" s="204"/>
      <c r="C193" s="205"/>
      <c r="D193" s="211"/>
      <c r="E193" s="60" t="str">
        <f t="shared" si="142"/>
        <v>Nominal return company should have received- real</v>
      </c>
      <c r="F193" s="225"/>
      <c r="G193" s="225" t="str">
        <f t="shared" si="143"/>
        <v>£m</v>
      </c>
      <c r="H193" s="295">
        <f t="shared" si="144"/>
        <v>87.507740926703846</v>
      </c>
      <c r="I193" s="225"/>
      <c r="J193" s="225">
        <f t="shared" ref="J193:R193" si="149" xml:space="preserve"> IF(J$188 = 0, 0, J186 / J$188)</f>
        <v>0</v>
      </c>
      <c r="K193" s="225">
        <f t="shared" si="149"/>
        <v>0</v>
      </c>
      <c r="L193" s="225">
        <f t="shared" si="149"/>
        <v>0</v>
      </c>
      <c r="M193" s="226">
        <f t="shared" si="149"/>
        <v>18.427431660963897</v>
      </c>
      <c r="N193" s="225">
        <f t="shared" si="149"/>
        <v>17.906385869481777</v>
      </c>
      <c r="O193" s="225">
        <f t="shared" si="149"/>
        <v>17.733423864982704</v>
      </c>
      <c r="P193" s="225">
        <f t="shared" si="149"/>
        <v>17.049320300044837</v>
      </c>
      <c r="Q193" s="225">
        <f t="shared" si="149"/>
        <v>16.391179231230634</v>
      </c>
      <c r="R193" s="225">
        <f t="shared" si="149"/>
        <v>0</v>
      </c>
      <c r="S193" s="126"/>
      <c r="T193" s="126"/>
      <c r="U193" s="126"/>
      <c r="V193" s="126"/>
      <c r="W193" s="126"/>
      <c r="X193" s="126"/>
      <c r="Y193" s="126"/>
      <c r="Z193" s="126"/>
    </row>
    <row r="194" spans="1:26" s="125" customFormat="1" x14ac:dyDescent="0.25">
      <c r="A194" s="210"/>
      <c r="B194" s="204"/>
      <c r="C194" s="205"/>
      <c r="D194" s="211"/>
      <c r="E194" s="60" t="str">
        <f t="shared" si="142"/>
        <v>Total nominal revenue company should have received- real</v>
      </c>
      <c r="F194" s="225"/>
      <c r="G194" s="225" t="str">
        <f t="shared" si="143"/>
        <v>£m</v>
      </c>
      <c r="H194" s="295">
        <f t="shared" si="144"/>
        <v>281.11517835224436</v>
      </c>
      <c r="I194" s="225"/>
      <c r="J194" s="225">
        <f t="shared" ref="J194:R194" si="150" xml:space="preserve"> IF(J$188 = 0, 0, J187 / J$188)</f>
        <v>0</v>
      </c>
      <c r="K194" s="225">
        <f t="shared" si="150"/>
        <v>0</v>
      </c>
      <c r="L194" s="225">
        <f t="shared" si="150"/>
        <v>0</v>
      </c>
      <c r="M194" s="226">
        <f t="shared" si="150"/>
        <v>59.19739994527572</v>
      </c>
      <c r="N194" s="225">
        <f t="shared" si="150"/>
        <v>57.523560819147804</v>
      </c>
      <c r="O194" s="225">
        <f t="shared" si="150"/>
        <v>56.967927177734943</v>
      </c>
      <c r="P194" s="225">
        <f t="shared" si="150"/>
        <v>54.770271363148261</v>
      </c>
      <c r="Q194" s="225">
        <f t="shared" si="150"/>
        <v>52.656019046937658</v>
      </c>
      <c r="R194" s="225">
        <f t="shared" si="150"/>
        <v>0</v>
      </c>
      <c r="S194" s="126"/>
      <c r="T194" s="126"/>
      <c r="U194" s="126"/>
      <c r="V194" s="126"/>
      <c r="W194" s="126"/>
      <c r="X194" s="126"/>
      <c r="Y194" s="126"/>
      <c r="Z194" s="126"/>
    </row>
    <row r="196" spans="1:26" x14ac:dyDescent="0.25">
      <c r="E196" s="56" t="str">
        <f>E$189</f>
        <v>True up Nominal RCV run-off- real</v>
      </c>
      <c r="F196" s="225">
        <f t="shared" ref="F196:R196" si="151">F$189</f>
        <v>0</v>
      </c>
      <c r="G196" s="56" t="str">
        <f t="shared" si="151"/>
        <v>£m</v>
      </c>
      <c r="H196" s="299">
        <f t="shared" si="151"/>
        <v>189.5300939328875</v>
      </c>
      <c r="I196" s="299">
        <f t="shared" si="151"/>
        <v>0</v>
      </c>
      <c r="J196" s="225">
        <f t="shared" si="151"/>
        <v>0</v>
      </c>
      <c r="K196" s="225">
        <f t="shared" si="151"/>
        <v>0</v>
      </c>
      <c r="L196" s="225">
        <f t="shared" si="151"/>
        <v>0</v>
      </c>
      <c r="M196" s="226">
        <f t="shared" si="151"/>
        <v>40.919731610350304</v>
      </c>
      <c r="N196" s="225">
        <f t="shared" si="151"/>
        <v>39.324265423052708</v>
      </c>
      <c r="O196" s="225">
        <f t="shared" si="151"/>
        <v>37.835026796048481</v>
      </c>
      <c r="P196" s="225">
        <f t="shared" si="151"/>
        <v>36.410828933318641</v>
      </c>
      <c r="Q196" s="225">
        <f t="shared" si="151"/>
        <v>35.040241170117369</v>
      </c>
      <c r="R196" s="225">
        <f t="shared" si="151"/>
        <v>0</v>
      </c>
    </row>
    <row r="197" spans="1:26" x14ac:dyDescent="0.25">
      <c r="E197" s="56" t="str">
        <f>E$192</f>
        <v>RCV run-off company should have received- real</v>
      </c>
      <c r="F197" s="225">
        <f t="shared" ref="F197:R197" si="152">F$192</f>
        <v>0</v>
      </c>
      <c r="G197" s="56" t="str">
        <f t="shared" si="152"/>
        <v>£m</v>
      </c>
      <c r="H197" s="299">
        <f t="shared" si="152"/>
        <v>193.60743742554052</v>
      </c>
      <c r="I197" s="299">
        <f t="shared" si="152"/>
        <v>0</v>
      </c>
      <c r="J197" s="225">
        <f t="shared" si="152"/>
        <v>0</v>
      </c>
      <c r="K197" s="225">
        <f t="shared" si="152"/>
        <v>0</v>
      </c>
      <c r="L197" s="225">
        <f t="shared" si="152"/>
        <v>0</v>
      </c>
      <c r="M197" s="226">
        <f t="shared" si="152"/>
        <v>40.76996828431183</v>
      </c>
      <c r="N197" s="225">
        <f t="shared" si="152"/>
        <v>39.617174949666023</v>
      </c>
      <c r="O197" s="225">
        <f t="shared" si="152"/>
        <v>39.234503312752238</v>
      </c>
      <c r="P197" s="225">
        <f t="shared" si="152"/>
        <v>37.720951063103428</v>
      </c>
      <c r="Q197" s="225">
        <f t="shared" si="152"/>
        <v>36.26483981570702</v>
      </c>
      <c r="R197" s="225">
        <f t="shared" si="152"/>
        <v>0</v>
      </c>
    </row>
    <row r="198" spans="1:26" x14ac:dyDescent="0.25">
      <c r="A198" s="89"/>
      <c r="B198" s="95"/>
      <c r="C198" s="332"/>
      <c r="D198" s="91"/>
      <c r="E198" s="60" t="s">
        <v>269</v>
      </c>
      <c r="G198" s="56" t="s">
        <v>88</v>
      </c>
      <c r="H198" s="226">
        <f xml:space="preserve"> SUM(J198:R198)</f>
        <v>4.0773434926530356</v>
      </c>
      <c r="I198" s="226"/>
      <c r="J198" s="225">
        <f t="shared" ref="J198:K198" si="153">J197-J196</f>
        <v>0</v>
      </c>
      <c r="K198" s="225">
        <f t="shared" si="153"/>
        <v>0</v>
      </c>
      <c r="L198" s="225">
        <f>L197-L196</f>
        <v>0</v>
      </c>
      <c r="M198" s="226">
        <f>M197-M196</f>
        <v>-0.14976332603847453</v>
      </c>
      <c r="N198" s="225">
        <f t="shared" ref="N198:R198" si="154">N197-N196</f>
        <v>0.2929095266133146</v>
      </c>
      <c r="O198" s="225">
        <f t="shared" si="154"/>
        <v>1.3994765167037571</v>
      </c>
      <c r="P198" s="225">
        <f t="shared" si="154"/>
        <v>1.3101221297847871</v>
      </c>
      <c r="Q198" s="225">
        <f t="shared" si="154"/>
        <v>1.2245986455896514</v>
      </c>
      <c r="R198" s="225">
        <f t="shared" si="154"/>
        <v>0</v>
      </c>
    </row>
    <row r="200" spans="1:26" x14ac:dyDescent="0.25">
      <c r="E200" s="56" t="str">
        <f>E$190</f>
        <v>True up Nominal return- real</v>
      </c>
      <c r="F200" s="225">
        <f t="shared" ref="F200:R200" si="155">F$190</f>
        <v>0</v>
      </c>
      <c r="G200" s="56" t="str">
        <f t="shared" si="155"/>
        <v>£m</v>
      </c>
      <c r="H200" s="299">
        <f t="shared" si="155"/>
        <v>85.664841073429969</v>
      </c>
      <c r="I200" s="299">
        <f t="shared" si="155"/>
        <v>0</v>
      </c>
      <c r="J200" s="225">
        <f t="shared" si="155"/>
        <v>0</v>
      </c>
      <c r="K200" s="225">
        <f t="shared" si="155"/>
        <v>0</v>
      </c>
      <c r="L200" s="225">
        <f t="shared" si="155"/>
        <v>0</v>
      </c>
      <c r="M200" s="226">
        <f t="shared" si="155"/>
        <v>18.495122502336336</v>
      </c>
      <c r="N200" s="225">
        <f t="shared" si="155"/>
        <v>17.773995031037362</v>
      </c>
      <c r="O200" s="225">
        <f t="shared" si="155"/>
        <v>17.100880869294244</v>
      </c>
      <c r="P200" s="225">
        <f t="shared" si="155"/>
        <v>16.457164185382975</v>
      </c>
      <c r="Q200" s="225">
        <f t="shared" si="155"/>
        <v>15.837678485379048</v>
      </c>
      <c r="R200" s="225">
        <f t="shared" si="155"/>
        <v>0</v>
      </c>
    </row>
    <row r="201" spans="1:26" x14ac:dyDescent="0.25">
      <c r="E201" s="56" t="str">
        <f>E$193</f>
        <v>Nominal return company should have received- real</v>
      </c>
      <c r="F201" s="225">
        <f t="shared" ref="F201:R201" si="156">F$193</f>
        <v>0</v>
      </c>
      <c r="G201" s="56" t="str">
        <f t="shared" si="156"/>
        <v>£m</v>
      </c>
      <c r="H201" s="299">
        <f t="shared" si="156"/>
        <v>87.507740926703846</v>
      </c>
      <c r="I201" s="299">
        <f t="shared" si="156"/>
        <v>0</v>
      </c>
      <c r="J201" s="225">
        <f t="shared" si="156"/>
        <v>0</v>
      </c>
      <c r="K201" s="225">
        <f t="shared" si="156"/>
        <v>0</v>
      </c>
      <c r="L201" s="225">
        <f t="shared" si="156"/>
        <v>0</v>
      </c>
      <c r="M201" s="226">
        <f t="shared" si="156"/>
        <v>18.427431660963897</v>
      </c>
      <c r="N201" s="225">
        <f t="shared" si="156"/>
        <v>17.906385869481777</v>
      </c>
      <c r="O201" s="225">
        <f t="shared" si="156"/>
        <v>17.733423864982704</v>
      </c>
      <c r="P201" s="225">
        <f t="shared" si="156"/>
        <v>17.049320300044837</v>
      </c>
      <c r="Q201" s="225">
        <f t="shared" si="156"/>
        <v>16.391179231230634</v>
      </c>
      <c r="R201" s="225">
        <f t="shared" si="156"/>
        <v>0</v>
      </c>
    </row>
    <row r="202" spans="1:26" x14ac:dyDescent="0.25">
      <c r="A202" s="89"/>
      <c r="B202" s="95"/>
      <c r="C202" s="332"/>
      <c r="D202" s="91"/>
      <c r="E202" s="60" t="s">
        <v>276</v>
      </c>
      <c r="G202" s="56" t="s">
        <v>88</v>
      </c>
      <c r="H202" s="226">
        <f xml:space="preserve"> SUM(J202:R202)</f>
        <v>1.8428998532738845</v>
      </c>
      <c r="I202" s="226"/>
      <c r="J202" s="225">
        <f t="shared" ref="J202:K202" si="157">J201-J200</f>
        <v>0</v>
      </c>
      <c r="K202" s="225">
        <f t="shared" si="157"/>
        <v>0</v>
      </c>
      <c r="L202" s="225">
        <f>L201-L200</f>
        <v>0</v>
      </c>
      <c r="M202" s="226">
        <f>M201-M200</f>
        <v>-6.7690841372439081E-2</v>
      </c>
      <c r="N202" s="225">
        <f t="shared" ref="N202:R202" si="158">N201-N200</f>
        <v>0.13239083844441524</v>
      </c>
      <c r="O202" s="225">
        <f>O201-O200</f>
        <v>0.63254299568846051</v>
      </c>
      <c r="P202" s="225">
        <f t="shared" si="158"/>
        <v>0.59215611466186147</v>
      </c>
      <c r="Q202" s="225">
        <f t="shared" si="158"/>
        <v>0.55350074585158637</v>
      </c>
      <c r="R202" s="225">
        <f t="shared" si="158"/>
        <v>0</v>
      </c>
    </row>
    <row r="204" spans="1:26" x14ac:dyDescent="0.25">
      <c r="E204" s="56" t="str">
        <f>E$191</f>
        <v>Total True up Nominal revenue to company- real</v>
      </c>
      <c r="F204" s="225">
        <f t="shared" ref="F204:R204" si="159">F$191</f>
        <v>0</v>
      </c>
      <c r="G204" s="56" t="str">
        <f t="shared" si="159"/>
        <v>£m</v>
      </c>
      <c r="H204" s="299">
        <f t="shared" si="159"/>
        <v>275.19493500631745</v>
      </c>
      <c r="I204" s="299"/>
      <c r="J204" s="225">
        <f t="shared" si="159"/>
        <v>0</v>
      </c>
      <c r="K204" s="225">
        <f t="shared" si="159"/>
        <v>0</v>
      </c>
      <c r="L204" s="225">
        <f t="shared" si="159"/>
        <v>0</v>
      </c>
      <c r="M204" s="226">
        <f t="shared" si="159"/>
        <v>59.414854112686648</v>
      </c>
      <c r="N204" s="225">
        <f t="shared" si="159"/>
        <v>57.098260454090074</v>
      </c>
      <c r="O204" s="225">
        <f t="shared" si="159"/>
        <v>54.935907665342732</v>
      </c>
      <c r="P204" s="225">
        <f t="shared" si="159"/>
        <v>52.867993118701619</v>
      </c>
      <c r="Q204" s="225">
        <f t="shared" si="159"/>
        <v>50.877919655496413</v>
      </c>
      <c r="R204" s="225">
        <f t="shared" si="159"/>
        <v>0</v>
      </c>
    </row>
    <row r="205" spans="1:26" x14ac:dyDescent="0.25">
      <c r="E205" s="56" t="str">
        <f>E$194</f>
        <v>Total nominal revenue company should have received- real</v>
      </c>
      <c r="F205" s="225">
        <f t="shared" ref="F205:R205" si="160">F$194</f>
        <v>0</v>
      </c>
      <c r="G205" s="56" t="str">
        <f t="shared" si="160"/>
        <v>£m</v>
      </c>
      <c r="H205" s="299">
        <f t="shared" si="160"/>
        <v>281.11517835224436</v>
      </c>
      <c r="I205" s="299"/>
      <c r="J205" s="225">
        <f t="shared" si="160"/>
        <v>0</v>
      </c>
      <c r="K205" s="225">
        <f t="shared" si="160"/>
        <v>0</v>
      </c>
      <c r="L205" s="225">
        <f t="shared" si="160"/>
        <v>0</v>
      </c>
      <c r="M205" s="226">
        <f t="shared" si="160"/>
        <v>59.19739994527572</v>
      </c>
      <c r="N205" s="225">
        <f t="shared" si="160"/>
        <v>57.523560819147804</v>
      </c>
      <c r="O205" s="225">
        <f t="shared" si="160"/>
        <v>56.967927177734943</v>
      </c>
      <c r="P205" s="225">
        <f t="shared" si="160"/>
        <v>54.770271363148261</v>
      </c>
      <c r="Q205" s="225">
        <f t="shared" si="160"/>
        <v>52.656019046937658</v>
      </c>
      <c r="R205" s="225">
        <f t="shared" si="160"/>
        <v>0</v>
      </c>
    </row>
    <row r="206" spans="1:26" x14ac:dyDescent="0.25">
      <c r="A206" s="89"/>
      <c r="B206" s="95"/>
      <c r="C206" s="332"/>
      <c r="D206" s="91"/>
      <c r="E206" s="60" t="s">
        <v>322</v>
      </c>
      <c r="G206" s="56" t="s">
        <v>88</v>
      </c>
      <c r="H206" s="226">
        <f xml:space="preserve"> SUM(J206:R206)</f>
        <v>5.9202433459268988</v>
      </c>
      <c r="I206" s="226"/>
      <c r="J206" s="225">
        <f t="shared" ref="J206:K206" si="161">J205-J204</f>
        <v>0</v>
      </c>
      <c r="K206" s="225">
        <f t="shared" si="161"/>
        <v>0</v>
      </c>
      <c r="L206" s="225">
        <f>L205-L204</f>
        <v>0</v>
      </c>
      <c r="M206" s="226">
        <f>M205-M204</f>
        <v>-0.21745416741092782</v>
      </c>
      <c r="N206" s="225">
        <f t="shared" ref="N206:R206" si="162">N205-N204</f>
        <v>0.42530036505772983</v>
      </c>
      <c r="O206" s="225">
        <f t="shared" si="162"/>
        <v>2.0320195123922105</v>
      </c>
      <c r="P206" s="225">
        <f t="shared" si="162"/>
        <v>1.9022782444466415</v>
      </c>
      <c r="Q206" s="225">
        <f t="shared" si="162"/>
        <v>1.7780993914412448</v>
      </c>
      <c r="R206" s="225">
        <f t="shared" si="162"/>
        <v>0</v>
      </c>
    </row>
    <row r="208" spans="1:26" x14ac:dyDescent="0.25">
      <c r="B208" s="80" t="s">
        <v>270</v>
      </c>
      <c r="E208" s="60"/>
      <c r="H208" s="226"/>
      <c r="I208" s="226"/>
      <c r="J208" s="225"/>
      <c r="K208" s="225"/>
      <c r="L208" s="225"/>
      <c r="M208" s="226"/>
      <c r="N208" s="225"/>
      <c r="O208" s="225"/>
      <c r="P208" s="225"/>
      <c r="Q208" s="225"/>
      <c r="R208" s="225"/>
    </row>
    <row r="209" spans="1:26" s="126" customFormat="1" x14ac:dyDescent="0.25">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5">
      <c r="A210" s="249"/>
      <c r="B210" s="250"/>
      <c r="C210" s="251"/>
      <c r="D210" s="252"/>
      <c r="E210" s="49" t="str">
        <f>InpR!E$109</f>
        <v>WACC real on RCV - CPI(H) bf and additions - WN</v>
      </c>
      <c r="F210" s="253">
        <f>InpR!F$109</f>
        <v>0</v>
      </c>
      <c r="G210" s="271" t="str">
        <f>InpR!G$109</f>
        <v>%</v>
      </c>
      <c r="H210" s="253" t="str">
        <f>InpR!I$109</f>
        <v>PR19 Financial model, 'Water Network' sheet row 860</v>
      </c>
      <c r="I210" s="253" t="e">
        <f>InpR!#REF!</f>
        <v>#REF!</v>
      </c>
      <c r="J210" s="253">
        <f>InpR!J$109</f>
        <v>0</v>
      </c>
      <c r="K210" s="253">
        <f>InpR!K$109</f>
        <v>0</v>
      </c>
      <c r="L210" s="253">
        <f>InpR!L$109</f>
        <v>0</v>
      </c>
      <c r="M210" s="253">
        <f>InpR!M$109</f>
        <v>3.1200592500000068E-2</v>
      </c>
      <c r="N210" s="253">
        <f>InpR!N$109</f>
        <v>3.1200592500000068E-2</v>
      </c>
      <c r="O210" s="253">
        <f>InpR!O$109</f>
        <v>3.1200592500000068E-2</v>
      </c>
      <c r="P210" s="253">
        <f>InpR!P$109</f>
        <v>3.1200592500000068E-2</v>
      </c>
      <c r="Q210" s="253">
        <f>InpR!Q$109</f>
        <v>3.1200592500000068E-2</v>
      </c>
      <c r="R210" s="253">
        <f>InpR!R$109</f>
        <v>0</v>
      </c>
    </row>
    <row r="211" spans="1:26" x14ac:dyDescent="0.25">
      <c r="E211" s="60" t="s">
        <v>272</v>
      </c>
      <c r="G211" s="56" t="s">
        <v>273</v>
      </c>
      <c r="J211" s="309">
        <f xml:space="preserve"> (1 + J$210) ^ J$209</f>
        <v>1</v>
      </c>
      <c r="K211" s="309">
        <f t="shared" ref="K211:R211" si="163" xml:space="preserve"> (1 + K$210) ^ K$209</f>
        <v>1</v>
      </c>
      <c r="L211" s="309">
        <f t="shared" si="163"/>
        <v>1</v>
      </c>
      <c r="M211" s="309">
        <f t="shared" si="163"/>
        <v>1.1307656717248122</v>
      </c>
      <c r="N211" s="309">
        <f t="shared" si="163"/>
        <v>1.0965525814753758</v>
      </c>
      <c r="O211" s="309">
        <f t="shared" si="163"/>
        <v>1.0633746619723512</v>
      </c>
      <c r="P211" s="309">
        <f t="shared" si="163"/>
        <v>1.0312005925000001</v>
      </c>
      <c r="Q211" s="309">
        <f t="shared" si="163"/>
        <v>1</v>
      </c>
      <c r="R211" s="309">
        <f t="shared" si="163"/>
        <v>1</v>
      </c>
    </row>
    <row r="213" spans="1:26" x14ac:dyDescent="0.25">
      <c r="B213" s="80" t="s">
        <v>274</v>
      </c>
    </row>
    <row r="214" spans="1:26" x14ac:dyDescent="0.25">
      <c r="E214" s="56" t="str">
        <f>E$198</f>
        <v>Value of True up run-off - real</v>
      </c>
      <c r="F214" s="225">
        <f t="shared" ref="F214:R214" si="164">F$198</f>
        <v>0</v>
      </c>
      <c r="G214" s="56" t="str">
        <f t="shared" si="164"/>
        <v>£m</v>
      </c>
      <c r="H214" s="299">
        <f t="shared" si="164"/>
        <v>4.0773434926530356</v>
      </c>
      <c r="I214" s="299">
        <f t="shared" si="164"/>
        <v>0</v>
      </c>
      <c r="J214" s="225">
        <f t="shared" si="164"/>
        <v>0</v>
      </c>
      <c r="K214" s="225">
        <f t="shared" si="164"/>
        <v>0</v>
      </c>
      <c r="L214" s="225">
        <f t="shared" si="164"/>
        <v>0</v>
      </c>
      <c r="M214" s="226">
        <f t="shared" si="164"/>
        <v>-0.14976332603847453</v>
      </c>
      <c r="N214" s="225">
        <f t="shared" si="164"/>
        <v>0.2929095266133146</v>
      </c>
      <c r="O214" s="225">
        <f t="shared" si="164"/>
        <v>1.3994765167037571</v>
      </c>
      <c r="P214" s="225">
        <f t="shared" si="164"/>
        <v>1.3101221297847871</v>
      </c>
      <c r="Q214" s="225">
        <f t="shared" si="164"/>
        <v>1.2245986455896514</v>
      </c>
      <c r="R214" s="225">
        <f t="shared" si="164"/>
        <v>0</v>
      </c>
    </row>
    <row r="215" spans="1:26" x14ac:dyDescent="0.25">
      <c r="E215" s="56" t="str">
        <f>E$211</f>
        <v xml:space="preserve">Time value of money factor </v>
      </c>
      <c r="F215" s="225">
        <f t="shared" ref="F215:R215" si="165">F$211</f>
        <v>0</v>
      </c>
      <c r="G215" s="56" t="str">
        <f t="shared" si="165"/>
        <v>Factor</v>
      </c>
      <c r="H215" s="299">
        <f t="shared" si="165"/>
        <v>0</v>
      </c>
      <c r="I215" s="299">
        <f t="shared" si="165"/>
        <v>0</v>
      </c>
      <c r="J215" s="225">
        <f t="shared" si="165"/>
        <v>1</v>
      </c>
      <c r="K215" s="225">
        <f t="shared" si="165"/>
        <v>1</v>
      </c>
      <c r="L215" s="225">
        <f t="shared" si="165"/>
        <v>1</v>
      </c>
      <c r="M215" s="226">
        <f t="shared" si="165"/>
        <v>1.1307656717248122</v>
      </c>
      <c r="N215" s="225">
        <f t="shared" si="165"/>
        <v>1.0965525814753758</v>
      </c>
      <c r="O215" s="225">
        <f t="shared" si="165"/>
        <v>1.0633746619723512</v>
      </c>
      <c r="P215" s="225">
        <f t="shared" si="165"/>
        <v>1.0312005925000001</v>
      </c>
      <c r="Q215" s="225">
        <f t="shared" si="165"/>
        <v>1</v>
      </c>
      <c r="R215" s="225">
        <f t="shared" si="165"/>
        <v>1</v>
      </c>
    </row>
    <row r="216" spans="1:26" s="44" customFormat="1" x14ac:dyDescent="0.25">
      <c r="A216" s="319"/>
      <c r="B216" s="320"/>
      <c r="C216" s="321"/>
      <c r="D216" s="322"/>
      <c r="E216" s="44" t="s">
        <v>357</v>
      </c>
      <c r="G216" s="44" t="s">
        <v>88</v>
      </c>
      <c r="H216" s="325">
        <f xml:space="preserve"> SUM(J216:R216)</f>
        <v>4.2156086995381097</v>
      </c>
      <c r="J216" s="325">
        <f xml:space="preserve"> J214 * J215</f>
        <v>0</v>
      </c>
      <c r="K216" s="325">
        <f t="shared" ref="K216:R216" si="166" xml:space="preserve"> K214 * K215</f>
        <v>0</v>
      </c>
      <c r="L216" s="325">
        <f t="shared" si="166"/>
        <v>0</v>
      </c>
      <c r="M216" s="331">
        <f t="shared" si="166"/>
        <v>-0.16934722796763771</v>
      </c>
      <c r="N216" s="325">
        <f t="shared" si="166"/>
        <v>0.32119069754656043</v>
      </c>
      <c r="O216" s="325">
        <f t="shared" si="166"/>
        <v>1.4881678678881012</v>
      </c>
      <c r="P216" s="325">
        <f t="shared" si="166"/>
        <v>1.3509987164814345</v>
      </c>
      <c r="Q216" s="325">
        <f t="shared" si="166"/>
        <v>1.2245986455896514</v>
      </c>
      <c r="R216" s="325">
        <f t="shared" si="166"/>
        <v>0</v>
      </c>
      <c r="S216" s="46"/>
      <c r="T216" s="46"/>
      <c r="U216" s="46"/>
      <c r="V216" s="46"/>
      <c r="W216" s="46"/>
      <c r="X216" s="46"/>
      <c r="Y216" s="46"/>
      <c r="Z216" s="46"/>
    </row>
    <row r="218" spans="1:26" x14ac:dyDescent="0.25">
      <c r="B218" s="80" t="s">
        <v>275</v>
      </c>
    </row>
    <row r="219" spans="1:26" x14ac:dyDescent="0.25">
      <c r="E219" s="56" t="str">
        <f>E202</f>
        <v>Value of True up return - real</v>
      </c>
      <c r="F219" s="225">
        <f t="shared" ref="F219:R219" si="167">F202</f>
        <v>0</v>
      </c>
      <c r="G219" s="56" t="str">
        <f t="shared" si="167"/>
        <v>£m</v>
      </c>
      <c r="H219" s="299">
        <f t="shared" si="167"/>
        <v>1.8428998532738845</v>
      </c>
      <c r="I219" s="299">
        <f t="shared" si="167"/>
        <v>0</v>
      </c>
      <c r="J219" s="225">
        <f t="shared" si="167"/>
        <v>0</v>
      </c>
      <c r="K219" s="225">
        <f t="shared" si="167"/>
        <v>0</v>
      </c>
      <c r="L219" s="225">
        <f t="shared" si="167"/>
        <v>0</v>
      </c>
      <c r="M219" s="226">
        <f t="shared" si="167"/>
        <v>-6.7690841372439081E-2</v>
      </c>
      <c r="N219" s="225">
        <f t="shared" si="167"/>
        <v>0.13239083844441524</v>
      </c>
      <c r="O219" s="225">
        <f t="shared" si="167"/>
        <v>0.63254299568846051</v>
      </c>
      <c r="P219" s="225">
        <f t="shared" si="167"/>
        <v>0.59215611466186147</v>
      </c>
      <c r="Q219" s="225">
        <f t="shared" si="167"/>
        <v>0.55350074585158637</v>
      </c>
      <c r="R219" s="225">
        <f t="shared" si="167"/>
        <v>0</v>
      </c>
    </row>
    <row r="220" spans="1:26" x14ac:dyDescent="0.25">
      <c r="E220" s="56" t="str">
        <f>E$211</f>
        <v xml:space="preserve">Time value of money factor </v>
      </c>
      <c r="F220" s="225">
        <f t="shared" ref="F220:R220" si="168">F$211</f>
        <v>0</v>
      </c>
      <c r="G220" s="56" t="str">
        <f t="shared" si="168"/>
        <v>Factor</v>
      </c>
      <c r="H220" s="299">
        <f t="shared" si="168"/>
        <v>0</v>
      </c>
      <c r="I220" s="299">
        <f t="shared" si="168"/>
        <v>0</v>
      </c>
      <c r="J220" s="225">
        <f t="shared" si="168"/>
        <v>1</v>
      </c>
      <c r="K220" s="225">
        <f t="shared" si="168"/>
        <v>1</v>
      </c>
      <c r="L220" s="225">
        <f t="shared" si="168"/>
        <v>1</v>
      </c>
      <c r="M220" s="226">
        <f t="shared" si="168"/>
        <v>1.1307656717248122</v>
      </c>
      <c r="N220" s="225">
        <f t="shared" si="168"/>
        <v>1.0965525814753758</v>
      </c>
      <c r="O220" s="225">
        <f t="shared" si="168"/>
        <v>1.0633746619723512</v>
      </c>
      <c r="P220" s="225">
        <f t="shared" si="168"/>
        <v>1.0312005925000001</v>
      </c>
      <c r="Q220" s="225">
        <f t="shared" si="168"/>
        <v>1</v>
      </c>
      <c r="R220" s="225">
        <f t="shared" si="168"/>
        <v>1</v>
      </c>
    </row>
    <row r="221" spans="1:26" s="44" customFormat="1" x14ac:dyDescent="0.25">
      <c r="A221" s="319"/>
      <c r="B221" s="320"/>
      <c r="C221" s="321"/>
      <c r="D221" s="322"/>
      <c r="E221" s="44" t="s">
        <v>356</v>
      </c>
      <c r="G221" s="44" t="s">
        <v>88</v>
      </c>
      <c r="H221" s="325">
        <f xml:space="preserve"> SUM(J221:R221)</f>
        <v>1.9053937123123803</v>
      </c>
      <c r="J221" s="325">
        <f xml:space="preserve"> J219 * J220</f>
        <v>0</v>
      </c>
      <c r="K221" s="325">
        <f t="shared" ref="K221" si="169" xml:space="preserve"> K219 * K220</f>
        <v>0</v>
      </c>
      <c r="L221" s="325">
        <f t="shared" ref="L221" si="170" xml:space="preserve"> L219 * L220</f>
        <v>0</v>
      </c>
      <c r="M221" s="331">
        <f t="shared" ref="M221" si="171" xml:space="preserve"> M219 * M220</f>
        <v>-7.6542479714123784E-2</v>
      </c>
      <c r="N221" s="325">
        <f xml:space="preserve"> N219 * N220</f>
        <v>0.14517351565991296</v>
      </c>
      <c r="O221" s="325">
        <f t="shared" ref="O221" si="172" xml:space="preserve"> O219 * O220</f>
        <v>0.67263019422319514</v>
      </c>
      <c r="P221" s="325">
        <f t="shared" ref="P221" si="173" xml:space="preserve"> P219 * P220</f>
        <v>0.61063173629180956</v>
      </c>
      <c r="Q221" s="325">
        <f t="shared" ref="Q221" si="174" xml:space="preserve"> Q219 * Q220</f>
        <v>0.55350074585158637</v>
      </c>
      <c r="R221" s="325">
        <f t="shared" ref="R221" si="175" xml:space="preserve"> R219 * R220</f>
        <v>0</v>
      </c>
      <c r="S221" s="46"/>
      <c r="T221" s="46"/>
      <c r="U221" s="46"/>
      <c r="V221" s="46"/>
      <c r="W221" s="46"/>
      <c r="X221" s="46"/>
      <c r="Y221" s="46"/>
      <c r="Z221" s="46"/>
    </row>
    <row r="223" spans="1:26" x14ac:dyDescent="0.3">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53" priority="10" stopIfTrue="1" operator="notEqual">
      <formula>0</formula>
    </cfRule>
    <cfRule type="cellIs" dxfId="52" priority="11" stopIfTrue="1" operator="equal">
      <formula>""</formula>
    </cfRule>
  </conditionalFormatting>
  <conditionalFormatting sqref="J3:Z3">
    <cfRule type="cellIs" dxfId="51" priority="14" operator="equal">
      <formula>"Post-Fcst"</formula>
    </cfRule>
    <cfRule type="cellIs" dxfId="50" priority="15" operator="equal">
      <formula>"Forecast"</formula>
    </cfRule>
    <cfRule type="cellIs" dxfId="49" priority="16" operator="equal">
      <formula>"Pre Fcst"</formula>
    </cfRule>
  </conditionalFormatting>
  <conditionalFormatting sqref="F2">
    <cfRule type="cellIs" dxfId="48" priority="8" stopIfTrue="1" operator="notEqual">
      <formula>0</formula>
    </cfRule>
    <cfRule type="cellIs" dxfId="47" priority="9" stopIfTrue="1" operator="equal">
      <formula>""</formula>
    </cfRule>
  </conditionalFormatting>
  <conditionalFormatting sqref="F165">
    <cfRule type="cellIs" dxfId="46" priority="2" stopIfTrue="1" operator="notEqual">
      <formula>0</formula>
    </cfRule>
    <cfRule type="cellIs" dxfId="45"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69" customWidth="1"/>
    <col min="2" max="2" width="1.81640625" style="80" customWidth="1"/>
    <col min="3" max="3" width="1.81640625" style="144" customWidth="1"/>
    <col min="4" max="4" width="1.81640625" style="74" customWidth="1"/>
    <col min="5" max="5" width="73.453125" style="56" bestFit="1" customWidth="1"/>
    <col min="6" max="6" width="12.54296875" style="56" customWidth="1"/>
    <col min="7" max="7" width="10.81640625" style="56" bestFit="1" customWidth="1"/>
    <col min="8" max="8" width="11.54296875" style="56" customWidth="1"/>
    <col min="9" max="9" width="2.54296875" style="56" customWidth="1"/>
    <col min="10" max="18" width="11.54296875" style="56" customWidth="1"/>
    <col min="19" max="26" width="11.54296875" style="60" hidden="1" customWidth="1"/>
    <col min="27" max="16384" width="0" style="56" hidden="1"/>
  </cols>
  <sheetData>
    <row r="1" spans="1:26" s="156" customFormat="1" ht="25" x14ac:dyDescent="0.5">
      <c r="A1" s="152" t="str">
        <f ca="1" xml:space="preserve"> RIGHT(CELL("filename", $A$1), LEN(CELL("filename", $A$1)) - SEARCH("]", CELL("filename", $A$1)))</f>
        <v>Calcs-WWN</v>
      </c>
      <c r="B1" s="153"/>
      <c r="C1" s="154"/>
      <c r="D1" s="155"/>
      <c r="S1" s="157"/>
      <c r="T1" s="157"/>
      <c r="U1" s="157"/>
      <c r="V1" s="157"/>
      <c r="W1" s="157"/>
      <c r="X1" s="157"/>
      <c r="Y1" s="157"/>
      <c r="Z1" s="157"/>
    </row>
    <row r="2" spans="1:26" s="37" customFormat="1" x14ac:dyDescent="0.25">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5">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5">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5">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5">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5">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25">
      <c r="C10" s="144" t="s">
        <v>259</v>
      </c>
    </row>
    <row r="12" spans="1:26" x14ac:dyDescent="0.25">
      <c r="B12" s="80" t="s">
        <v>132</v>
      </c>
    </row>
    <row r="13" spans="1:26" s="236" customFormat="1" x14ac:dyDescent="0.25">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5">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5">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5">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5">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5">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5">
      <c r="A20" s="260"/>
      <c r="B20" s="261"/>
      <c r="C20" s="262"/>
      <c r="D20" s="263"/>
      <c r="I20" s="266"/>
      <c r="S20" s="266"/>
      <c r="T20" s="266"/>
      <c r="U20" s="266"/>
      <c r="V20" s="266"/>
      <c r="W20" s="266"/>
      <c r="X20" s="266"/>
      <c r="Y20" s="266"/>
      <c r="Z20" s="266"/>
    </row>
    <row r="21" spans="1:16383" x14ac:dyDescent="0.25">
      <c r="B21" s="80" t="s">
        <v>135</v>
      </c>
    </row>
    <row r="22" spans="1:16383" s="208" customFormat="1" x14ac:dyDescent="0.25">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953.83984644932923</v>
      </c>
      <c r="N22" s="292">
        <f t="shared" si="3"/>
        <v>931.7440909658967</v>
      </c>
      <c r="O22" s="292">
        <f t="shared" si="3"/>
        <v>914.89605257340008</v>
      </c>
      <c r="P22" s="292">
        <f t="shared" si="3"/>
        <v>900.02447463511965</v>
      </c>
      <c r="Q22" s="292">
        <f t="shared" si="3"/>
        <v>885.82064838621864</v>
      </c>
      <c r="R22" s="292">
        <f t="shared" si="3"/>
        <v>871.84098124164655</v>
      </c>
    </row>
    <row r="23" spans="1:16383" s="213" customFormat="1" x14ac:dyDescent="0.25">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5">
      <c r="A24" s="210"/>
      <c r="B24" s="204"/>
      <c r="C24" s="205"/>
      <c r="D24" s="211"/>
      <c r="E24" s="213" t="s">
        <v>136</v>
      </c>
      <c r="G24" s="125" t="s">
        <v>88</v>
      </c>
      <c r="J24" s="225">
        <f>J22*J23</f>
        <v>0</v>
      </c>
      <c r="K24" s="225">
        <f t="shared" ref="K24:R24" si="5">K22*K23</f>
        <v>0</v>
      </c>
      <c r="L24" s="225">
        <f t="shared" si="5"/>
        <v>0</v>
      </c>
      <c r="M24" s="225">
        <f>M22*M23</f>
        <v>23.138334284545863</v>
      </c>
      <c r="N24" s="225">
        <f t="shared" si="5"/>
        <v>27.568116828378272</v>
      </c>
      <c r="O24" s="225">
        <f t="shared" si="5"/>
        <v>28.822595465941014</v>
      </c>
      <c r="P24" s="225">
        <f t="shared" si="5"/>
        <v>28.800783188324452</v>
      </c>
      <c r="Q24" s="225">
        <f t="shared" si="5"/>
        <v>28.346260748358826</v>
      </c>
      <c r="R24" s="225">
        <f t="shared" si="5"/>
        <v>26.155229437249226</v>
      </c>
      <c r="S24" s="126"/>
      <c r="T24" s="126"/>
      <c r="U24" s="126"/>
      <c r="V24" s="126"/>
      <c r="W24" s="126"/>
      <c r="X24" s="126"/>
      <c r="Y24" s="126"/>
      <c r="Z24" s="126"/>
    </row>
    <row r="26" spans="1:16383" s="253" customFormat="1" x14ac:dyDescent="0.25">
      <c r="A26" s="249"/>
      <c r="B26" s="250"/>
      <c r="C26" s="251"/>
      <c r="D26" s="252"/>
      <c r="E26" s="49" t="str">
        <f xml:space="preserve"> InpR!E$96</f>
        <v>Run-off rate - CPI(H) + RPI wedge - active - WWN</v>
      </c>
      <c r="F26" s="253">
        <f xml:space="preserve"> InpR!F$96</f>
        <v>0</v>
      </c>
      <c r="G26" s="271" t="str">
        <f xml:space="preserve"> InpR!G$96</f>
        <v>%</v>
      </c>
      <c r="H26" s="253" t="str">
        <f xml:space="preserve"> InpR!I$96</f>
        <v>PR19 Financial model, 'F_OutputsMaster' sheet row 959, PR19FM2096POST</v>
      </c>
      <c r="I26" s="253" t="e">
        <f xml:space="preserve"> InpR!#REF!</f>
        <v>#REF!</v>
      </c>
      <c r="J26" s="253">
        <f xml:space="preserve"> InpR!J$96</f>
        <v>0</v>
      </c>
      <c r="K26" s="253">
        <f xml:space="preserve"> InpR!K$96</f>
        <v>0</v>
      </c>
      <c r="L26" s="253">
        <f xml:space="preserve"> InpR!L$96</f>
        <v>0</v>
      </c>
      <c r="M26" s="253">
        <f xml:space="preserve"> InpR!M$96</f>
        <v>4.6300000000000001E-2</v>
      </c>
      <c r="N26" s="253">
        <f xml:space="preserve"> InpR!N$96</f>
        <v>4.6300000000000001E-2</v>
      </c>
      <c r="O26" s="253">
        <f xml:space="preserve"> InpR!O$96</f>
        <v>4.6300000000000001E-2</v>
      </c>
      <c r="P26" s="253">
        <f xml:space="preserve"> InpR!P$96</f>
        <v>4.6300000000000001E-2</v>
      </c>
      <c r="Q26" s="253">
        <f xml:space="preserve"> InpR!Q$96</f>
        <v>4.6300000000000001E-2</v>
      </c>
      <c r="R26" s="253">
        <f xml:space="preserve"> InpR!R$96</f>
        <v>0</v>
      </c>
    </row>
    <row r="27" spans="1:16383" s="199" customFormat="1" x14ac:dyDescent="0.25">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953.83984644932923</v>
      </c>
      <c r="N27" s="292">
        <f t="shared" si="6"/>
        <v>931.7440909658967</v>
      </c>
      <c r="O27" s="292">
        <f t="shared" si="6"/>
        <v>914.89605257340008</v>
      </c>
      <c r="P27" s="292">
        <f t="shared" si="6"/>
        <v>900.02447463511965</v>
      </c>
      <c r="Q27" s="292">
        <f t="shared" si="6"/>
        <v>885.82064838621864</v>
      </c>
      <c r="R27" s="292">
        <f t="shared" si="6"/>
        <v>871.84098124164655</v>
      </c>
    </row>
    <row r="28" spans="1:16383" x14ac:dyDescent="0.25">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23.138334284545863</v>
      </c>
      <c r="N28" s="225">
        <f t="shared" si="7"/>
        <v>27.568116828378272</v>
      </c>
      <c r="O28" s="225">
        <f t="shared" si="7"/>
        <v>28.822595465941014</v>
      </c>
      <c r="P28" s="225">
        <f t="shared" si="7"/>
        <v>28.800783188324452</v>
      </c>
      <c r="Q28" s="225">
        <f t="shared" si="7"/>
        <v>28.346260748358826</v>
      </c>
      <c r="R28" s="225">
        <f t="shared" si="7"/>
        <v>26.155229437249226</v>
      </c>
    </row>
    <row r="29" spans="1:16383" x14ac:dyDescent="0.25">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45.234089767978418</v>
      </c>
      <c r="N29" s="225">
        <f t="shared" si="8"/>
        <v>44.416155220874934</v>
      </c>
      <c r="O29" s="225">
        <f t="shared" si="8"/>
        <v>43.694173404221495</v>
      </c>
      <c r="P29" s="225">
        <f t="shared" si="8"/>
        <v>43.004609437225461</v>
      </c>
      <c r="Q29" s="225">
        <f t="shared" si="8"/>
        <v>42.325927892930942</v>
      </c>
      <c r="R29" s="225">
        <f t="shared" si="8"/>
        <v>0</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5">
      <c r="E30" s="304"/>
      <c r="F30" s="304"/>
      <c r="G30" s="304"/>
      <c r="H30" s="304"/>
    </row>
    <row r="31" spans="1:16383" s="242" customFormat="1" x14ac:dyDescent="0.25">
      <c r="A31" s="238"/>
      <c r="B31" s="239"/>
      <c r="C31" s="240"/>
      <c r="D31" s="241"/>
      <c r="E31" s="302" t="str">
        <f>InpR!$E$89</f>
        <v>RCV - CPI(H) + RPI wedge initial balance - nominal - WWN</v>
      </c>
      <c r="F31" s="302">
        <f>InpR!$F$89</f>
        <v>953.83984644932923</v>
      </c>
      <c r="G31" s="302" t="str">
        <f>InpR!$G$89</f>
        <v>£m</v>
      </c>
      <c r="H31" s="303"/>
    </row>
    <row r="32" spans="1:16383" s="49" customFormat="1" x14ac:dyDescent="0.25">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5">
      <c r="A33" s="67"/>
      <c r="B33" s="78"/>
      <c r="C33" s="142"/>
      <c r="D33" s="72"/>
      <c r="S33" s="59"/>
      <c r="T33" s="59"/>
      <c r="U33" s="59"/>
      <c r="V33" s="59"/>
      <c r="W33" s="59"/>
      <c r="X33" s="59"/>
      <c r="Y33" s="59"/>
      <c r="Z33" s="59"/>
    </row>
    <row r="34" spans="1:26" s="59" customFormat="1" x14ac:dyDescent="0.25">
      <c r="A34" s="66"/>
      <c r="B34" s="70"/>
      <c r="C34" s="145"/>
      <c r="D34" s="75"/>
      <c r="E34" s="59" t="s">
        <v>138</v>
      </c>
      <c r="G34" s="126" t="s">
        <v>88</v>
      </c>
      <c r="J34" s="293">
        <f t="shared" ref="J34:R34" si="9" xml:space="preserve"> I37</f>
        <v>0</v>
      </c>
      <c r="K34" s="293">
        <f t="shared" si="9"/>
        <v>0</v>
      </c>
      <c r="L34" s="293">
        <f t="shared" si="9"/>
        <v>0</v>
      </c>
      <c r="M34" s="293">
        <f t="shared" si="9"/>
        <v>953.83984644932923</v>
      </c>
      <c r="N34" s="293">
        <f t="shared" si="9"/>
        <v>931.7440909658967</v>
      </c>
      <c r="O34" s="293">
        <f t="shared" si="9"/>
        <v>914.89605257340008</v>
      </c>
      <c r="P34" s="293">
        <f t="shared" si="9"/>
        <v>900.02447463511965</v>
      </c>
      <c r="Q34" s="293">
        <f t="shared" si="9"/>
        <v>885.82064838621864</v>
      </c>
      <c r="R34" s="293">
        <f t="shared" si="9"/>
        <v>871.84098124164655</v>
      </c>
    </row>
    <row r="35" spans="1:26" s="59" customFormat="1" x14ac:dyDescent="0.25">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23.138334284545863</v>
      </c>
      <c r="N35" s="293">
        <f t="shared" si="10"/>
        <v>27.568116828378272</v>
      </c>
      <c r="O35" s="293">
        <f t="shared" si="10"/>
        <v>28.822595465941014</v>
      </c>
      <c r="P35" s="293">
        <f t="shared" si="10"/>
        <v>28.800783188324452</v>
      </c>
      <c r="Q35" s="293">
        <f t="shared" si="10"/>
        <v>28.346260748358826</v>
      </c>
      <c r="R35" s="293">
        <f t="shared" si="10"/>
        <v>26.155229437249226</v>
      </c>
    </row>
    <row r="36" spans="1:26" s="59" customFormat="1" x14ac:dyDescent="0.25">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45.234089767978418</v>
      </c>
      <c r="N36" s="293">
        <f t="shared" si="11"/>
        <v>44.416155220874934</v>
      </c>
      <c r="O36" s="293">
        <f t="shared" si="11"/>
        <v>43.694173404221495</v>
      </c>
      <c r="P36" s="293">
        <f t="shared" si="11"/>
        <v>43.004609437225461</v>
      </c>
      <c r="Q36" s="293">
        <f t="shared" si="11"/>
        <v>42.325927892930942</v>
      </c>
      <c r="R36" s="293">
        <f t="shared" si="11"/>
        <v>0</v>
      </c>
    </row>
    <row r="37" spans="1:26" s="173" customFormat="1" x14ac:dyDescent="0.25">
      <c r="A37" s="169"/>
      <c r="B37" s="170"/>
      <c r="C37" s="171"/>
      <c r="D37" s="172"/>
      <c r="E37" s="173" t="s">
        <v>141</v>
      </c>
      <c r="G37" s="202" t="s">
        <v>88</v>
      </c>
      <c r="J37" s="294">
        <f t="shared" ref="J37:R37" si="12" xml:space="preserve"> IF( J32 = 1, $F31, J34 + J35 - J36)</f>
        <v>0</v>
      </c>
      <c r="K37" s="294">
        <f t="shared" si="12"/>
        <v>0</v>
      </c>
      <c r="L37" s="294">
        <f t="shared" si="12"/>
        <v>953.83984644932923</v>
      </c>
      <c r="M37" s="294">
        <f t="shared" si="12"/>
        <v>931.7440909658967</v>
      </c>
      <c r="N37" s="294">
        <f t="shared" si="12"/>
        <v>914.89605257340008</v>
      </c>
      <c r="O37" s="294">
        <f t="shared" si="12"/>
        <v>900.02447463511965</v>
      </c>
      <c r="P37" s="294">
        <f t="shared" si="12"/>
        <v>885.82064838621864</v>
      </c>
      <c r="Q37" s="294">
        <f t="shared" si="12"/>
        <v>871.84098124164655</v>
      </c>
      <c r="R37" s="294">
        <f t="shared" si="12"/>
        <v>897.99621067889575</v>
      </c>
    </row>
    <row r="39" spans="1:26" s="126" customFormat="1" x14ac:dyDescent="0.25">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953.83984644932923</v>
      </c>
      <c r="N39" s="226">
        <f t="shared" si="13"/>
        <v>931.7440909658967</v>
      </c>
      <c r="O39" s="226">
        <f t="shared" si="13"/>
        <v>914.89605257340008</v>
      </c>
      <c r="P39" s="226">
        <f t="shared" si="13"/>
        <v>900.02447463511965</v>
      </c>
      <c r="Q39" s="226">
        <f t="shared" si="13"/>
        <v>885.82064838621864</v>
      </c>
      <c r="R39" s="226">
        <f t="shared" si="13"/>
        <v>871.84098124164655</v>
      </c>
    </row>
    <row r="40" spans="1:26" s="126" customFormat="1" x14ac:dyDescent="0.25">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23.138334284545863</v>
      </c>
      <c r="N40" s="293">
        <f t="shared" si="14"/>
        <v>27.568116828378272</v>
      </c>
      <c r="O40" s="293">
        <f t="shared" si="14"/>
        <v>28.822595465941014</v>
      </c>
      <c r="P40" s="293">
        <f t="shared" si="14"/>
        <v>28.800783188324452</v>
      </c>
      <c r="Q40" s="293">
        <f t="shared" si="14"/>
        <v>28.346260748358826</v>
      </c>
      <c r="R40" s="293">
        <f t="shared" si="14"/>
        <v>26.155229437249226</v>
      </c>
    </row>
    <row r="41" spans="1:26" s="126" customFormat="1" x14ac:dyDescent="0.25">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953.83984644932923</v>
      </c>
      <c r="M41" s="226">
        <f t="shared" si="15"/>
        <v>931.7440909658967</v>
      </c>
      <c r="N41" s="226">
        <f t="shared" si="15"/>
        <v>914.89605257340008</v>
      </c>
      <c r="O41" s="226">
        <f t="shared" si="15"/>
        <v>900.02447463511965</v>
      </c>
      <c r="P41" s="226">
        <f t="shared" si="15"/>
        <v>885.82064838621864</v>
      </c>
      <c r="Q41" s="226">
        <f t="shared" si="15"/>
        <v>871.84098124164655</v>
      </c>
      <c r="R41" s="226">
        <f t="shared" si="15"/>
        <v>897.99621067889575</v>
      </c>
    </row>
    <row r="42" spans="1:26" s="126" customFormat="1" x14ac:dyDescent="0.25">
      <c r="A42" s="203"/>
      <c r="B42" s="204"/>
      <c r="C42" s="205"/>
      <c r="D42" s="206"/>
      <c r="E42" s="126" t="s">
        <v>142</v>
      </c>
      <c r="G42" s="126" t="s">
        <v>88</v>
      </c>
      <c r="J42" s="226">
        <f t="shared" ref="J42:L42" si="16" xml:space="preserve"> ( (J39+J40) + J41) / 2</f>
        <v>0</v>
      </c>
      <c r="K42" s="226">
        <f t="shared" si="16"/>
        <v>0</v>
      </c>
      <c r="L42" s="226">
        <f t="shared" si="16"/>
        <v>476.91992322466461</v>
      </c>
      <c r="M42" s="226">
        <f xml:space="preserve"> ( (M39+M40) + M41) / 2</f>
        <v>954.36113584988584</v>
      </c>
      <c r="N42" s="226">
        <f t="shared" ref="N42:R42" si="17" xml:space="preserve"> ( (N39+N40) + N41) / 2</f>
        <v>937.10413018383747</v>
      </c>
      <c r="O42" s="226">
        <f t="shared" si="17"/>
        <v>921.87156133723033</v>
      </c>
      <c r="P42" s="226">
        <f t="shared" si="17"/>
        <v>907.32295310483141</v>
      </c>
      <c r="Q42" s="226">
        <f t="shared" si="17"/>
        <v>893.00394518811208</v>
      </c>
      <c r="R42" s="226">
        <f t="shared" si="17"/>
        <v>897.99621067889575</v>
      </c>
    </row>
    <row r="43" spans="1:26" s="126" customFormat="1" x14ac:dyDescent="0.25">
      <c r="A43" s="203"/>
      <c r="B43" s="204"/>
      <c r="C43" s="205"/>
      <c r="D43" s="206"/>
    </row>
    <row r="44" spans="1:26" x14ac:dyDescent="0.25">
      <c r="B44" s="80" t="s">
        <v>143</v>
      </c>
    </row>
    <row r="45" spans="1:26" s="253" customFormat="1" x14ac:dyDescent="0.25">
      <c r="A45" s="249"/>
      <c r="B45" s="250"/>
      <c r="C45" s="251"/>
      <c r="D45" s="252"/>
      <c r="E45" s="253" t="str">
        <f xml:space="preserve"> InpR!E$103</f>
        <v>WACC on RCV - CPI(H) + RPI wedge bf and additions - WWN</v>
      </c>
      <c r="F45" s="253">
        <f xml:space="preserve"> InpR!F$103</f>
        <v>0</v>
      </c>
      <c r="G45" s="271" t="str">
        <f xml:space="preserve"> InpR!G$103</f>
        <v>%</v>
      </c>
      <c r="H45" s="253" t="str">
        <f xml:space="preserve"> InpR!I$103</f>
        <v>PR19 Financial model, 'Wastewater Network' sheet row 980</v>
      </c>
      <c r="I45" s="253" t="e">
        <f xml:space="preserve"> InpR!#REF!</f>
        <v>#REF!</v>
      </c>
      <c r="J45" s="253">
        <f xml:space="preserve"> InpR!J$103</f>
        <v>0</v>
      </c>
      <c r="K45" s="253">
        <f xml:space="preserve"> InpR!K$103</f>
        <v>0</v>
      </c>
      <c r="L45" s="253">
        <f xml:space="preserve"> InpR!L$103</f>
        <v>0</v>
      </c>
      <c r="M45" s="253">
        <f xml:space="preserve"> InpR!M$103</f>
        <v>2.2181345335277269E-2</v>
      </c>
      <c r="N45" s="253">
        <f xml:space="preserve"> InpR!N$103</f>
        <v>2.2181345335277269E-2</v>
      </c>
      <c r="O45" s="253">
        <f xml:space="preserve"> InpR!O$103</f>
        <v>2.2181345335277269E-2</v>
      </c>
      <c r="P45" s="253">
        <f xml:space="preserve"> InpR!P$103</f>
        <v>2.2181345335277269E-2</v>
      </c>
      <c r="Q45" s="253">
        <f xml:space="preserve"> InpR!Q$103</f>
        <v>2.2181345335277269E-2</v>
      </c>
      <c r="R45" s="253">
        <f xml:space="preserve"> InpR!R$103</f>
        <v>0</v>
      </c>
    </row>
    <row r="46" spans="1:26" s="126" customFormat="1" x14ac:dyDescent="0.25">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5">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476.91992322466461</v>
      </c>
      <c r="M47" s="225">
        <f t="shared" si="18"/>
        <v>954.36113584988584</v>
      </c>
      <c r="N47" s="225">
        <f t="shared" si="18"/>
        <v>937.10413018383747</v>
      </c>
      <c r="O47" s="225">
        <f t="shared" si="18"/>
        <v>921.87156133723033</v>
      </c>
      <c r="P47" s="225">
        <f t="shared" si="18"/>
        <v>907.32295310483141</v>
      </c>
      <c r="Q47" s="225">
        <f t="shared" si="18"/>
        <v>893.00394518811208</v>
      </c>
      <c r="R47" s="225">
        <f t="shared" si="18"/>
        <v>897.99621067889575</v>
      </c>
      <c r="S47" s="126"/>
      <c r="T47" s="126"/>
      <c r="U47" s="126"/>
      <c r="V47" s="126"/>
      <c r="W47" s="126"/>
      <c r="X47" s="126"/>
      <c r="Y47" s="126"/>
      <c r="Z47" s="126"/>
    </row>
    <row r="48" spans="1:26" s="125" customFormat="1" x14ac:dyDescent="0.25">
      <c r="A48" s="210"/>
      <c r="B48" s="204"/>
      <c r="C48" s="205"/>
      <c r="D48" s="211"/>
      <c r="E48" s="213" t="s">
        <v>144</v>
      </c>
      <c r="G48" s="125" t="s">
        <v>88</v>
      </c>
      <c r="H48" s="225"/>
      <c r="I48" s="225"/>
      <c r="J48" s="225">
        <f t="shared" ref="J48:K48" si="19">J45*J47*J46</f>
        <v>0</v>
      </c>
      <c r="K48" s="225">
        <f t="shared" si="19"/>
        <v>0</v>
      </c>
      <c r="L48" s="225">
        <f>L45*L47*L46</f>
        <v>0</v>
      </c>
      <c r="M48" s="225">
        <f>M45*M47*M46</f>
        <v>21.169013928853783</v>
      </c>
      <c r="N48" s="225">
        <f t="shared" ref="N48:R48" si="20">N45*N47*N46</f>
        <v>20.786230326722325</v>
      </c>
      <c r="O48" s="225">
        <f t="shared" si="20"/>
        <v>20.448351456792349</v>
      </c>
      <c r="P48" s="225">
        <f t="shared" si="20"/>
        <v>20.12564375344185</v>
      </c>
      <c r="Q48" s="225">
        <f t="shared" si="20"/>
        <v>19.808028893982527</v>
      </c>
      <c r="R48" s="225">
        <f t="shared" si="20"/>
        <v>0</v>
      </c>
      <c r="S48" s="126"/>
      <c r="T48" s="126"/>
      <c r="U48" s="126"/>
      <c r="V48" s="126"/>
      <c r="W48" s="126"/>
      <c r="X48" s="126"/>
      <c r="Y48" s="126"/>
      <c r="Z48" s="126"/>
    </row>
    <row r="49" spans="1:26" s="125" customFormat="1" x14ac:dyDescent="0.25">
      <c r="A49" s="210"/>
      <c r="B49" s="204"/>
      <c r="C49" s="205"/>
      <c r="D49" s="211"/>
      <c r="S49" s="126"/>
      <c r="T49" s="126"/>
      <c r="U49" s="126"/>
      <c r="V49" s="126"/>
      <c r="W49" s="126"/>
      <c r="X49" s="126"/>
      <c r="Y49" s="126"/>
      <c r="Z49" s="126"/>
    </row>
    <row r="50" spans="1:26" x14ac:dyDescent="0.25">
      <c r="B50" s="80" t="s">
        <v>145</v>
      </c>
    </row>
    <row r="51" spans="1:26" s="125" customFormat="1" x14ac:dyDescent="0.25">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45.234089767978418</v>
      </c>
      <c r="N51" s="225">
        <f t="shared" si="21"/>
        <v>44.416155220874934</v>
      </c>
      <c r="O51" s="225">
        <f t="shared" si="21"/>
        <v>43.694173404221495</v>
      </c>
      <c r="P51" s="225">
        <f t="shared" si="21"/>
        <v>43.004609437225461</v>
      </c>
      <c r="Q51" s="225">
        <f t="shared" si="21"/>
        <v>42.325927892930942</v>
      </c>
      <c r="R51" s="225">
        <f t="shared" si="21"/>
        <v>0</v>
      </c>
      <c r="S51" s="126"/>
      <c r="T51" s="126"/>
      <c r="U51" s="126"/>
      <c r="V51" s="126"/>
      <c r="W51" s="126"/>
      <c r="X51" s="126"/>
      <c r="Y51" s="126"/>
      <c r="Z51" s="126"/>
    </row>
    <row r="52" spans="1:26" s="125" customFormat="1" x14ac:dyDescent="0.25">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21.169013928853783</v>
      </c>
      <c r="N52" s="225">
        <f t="shared" si="22"/>
        <v>20.786230326722325</v>
      </c>
      <c r="O52" s="225">
        <f t="shared" si="22"/>
        <v>20.448351456792349</v>
      </c>
      <c r="P52" s="225">
        <f t="shared" si="22"/>
        <v>20.12564375344185</v>
      </c>
      <c r="Q52" s="225">
        <f t="shared" si="22"/>
        <v>19.808028893982527</v>
      </c>
      <c r="R52" s="225">
        <f t="shared" si="22"/>
        <v>0</v>
      </c>
      <c r="S52" s="126"/>
      <c r="T52" s="126"/>
      <c r="U52" s="126"/>
      <c r="V52" s="126"/>
      <c r="W52" s="126"/>
      <c r="X52" s="126"/>
      <c r="Y52" s="126"/>
      <c r="Z52" s="126"/>
    </row>
    <row r="53" spans="1:26" s="125" customFormat="1" x14ac:dyDescent="0.25">
      <c r="A53" s="210"/>
      <c r="B53" s="204"/>
      <c r="C53" s="205"/>
      <c r="D53" s="211"/>
      <c r="E53" s="213" t="s">
        <v>146</v>
      </c>
      <c r="G53" s="125" t="str">
        <f xml:space="preserve"> G$48</f>
        <v>£m</v>
      </c>
      <c r="H53" s="225">
        <f>SUM(J53:R53)</f>
        <v>321.01222408302408</v>
      </c>
      <c r="I53" s="225"/>
      <c r="J53" s="225">
        <f t="shared" ref="J53:R53" si="23">SUM(J51:J52)</f>
        <v>0</v>
      </c>
      <c r="K53" s="225">
        <f t="shared" si="23"/>
        <v>0</v>
      </c>
      <c r="L53" s="225">
        <f>SUM(L51:L52)</f>
        <v>0</v>
      </c>
      <c r="M53" s="226">
        <f t="shared" si="23"/>
        <v>66.403103696832204</v>
      </c>
      <c r="N53" s="226">
        <f t="shared" si="23"/>
        <v>65.20238554759726</v>
      </c>
      <c r="O53" s="225">
        <f t="shared" si="23"/>
        <v>64.14252486101384</v>
      </c>
      <c r="P53" s="225">
        <f t="shared" si="23"/>
        <v>63.130253190667311</v>
      </c>
      <c r="Q53" s="225">
        <f t="shared" si="23"/>
        <v>62.133956786913473</v>
      </c>
      <c r="R53" s="225">
        <f t="shared" si="23"/>
        <v>0</v>
      </c>
      <c r="S53" s="126"/>
      <c r="T53" s="126"/>
      <c r="U53" s="126"/>
      <c r="V53" s="126"/>
      <c r="W53" s="126"/>
      <c r="X53" s="126"/>
      <c r="Y53" s="126"/>
      <c r="Z53" s="126"/>
    </row>
    <row r="55" spans="1:26" x14ac:dyDescent="0.25">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25">
      <c r="M56" s="218"/>
      <c r="N56" s="218"/>
      <c r="O56" s="218"/>
      <c r="P56" s="218"/>
      <c r="Q56" s="218"/>
    </row>
    <row r="57" spans="1:26" x14ac:dyDescent="0.25">
      <c r="C57" s="144" t="s">
        <v>260</v>
      </c>
      <c r="M57" s="218"/>
      <c r="N57" s="218"/>
      <c r="O57" s="218"/>
      <c r="P57" s="218"/>
      <c r="Q57" s="218"/>
    </row>
    <row r="58" spans="1:26" x14ac:dyDescent="0.25">
      <c r="C58" s="144" t="s">
        <v>261</v>
      </c>
      <c r="M58" s="218"/>
      <c r="N58" s="218"/>
      <c r="O58" s="218"/>
      <c r="P58" s="218"/>
      <c r="Q58" s="218"/>
    </row>
    <row r="59" spans="1:26" x14ac:dyDescent="0.25">
      <c r="C59" s="144" t="s">
        <v>262</v>
      </c>
      <c r="M59" s="218"/>
      <c r="N59" s="218"/>
      <c r="O59" s="218"/>
      <c r="P59" s="218"/>
      <c r="Q59" s="218"/>
    </row>
    <row r="60" spans="1:26" x14ac:dyDescent="0.25">
      <c r="M60" s="218"/>
      <c r="N60" s="218"/>
      <c r="O60" s="218"/>
      <c r="P60" s="218"/>
      <c r="Q60" s="218"/>
    </row>
    <row r="61" spans="1:26" s="125" customFormat="1" x14ac:dyDescent="0.25">
      <c r="A61" s="210"/>
      <c r="B61" s="204"/>
      <c r="C61" s="205"/>
      <c r="D61" s="211"/>
      <c r="E61" s="213" t="s">
        <v>148</v>
      </c>
      <c r="G61" s="125" t="s">
        <v>88</v>
      </c>
      <c r="J61" s="225">
        <f t="shared" ref="J61:R61" si="24" xml:space="preserve"> J53</f>
        <v>0</v>
      </c>
      <c r="K61" s="225">
        <f t="shared" si="24"/>
        <v>0</v>
      </c>
      <c r="L61" s="225">
        <f t="shared" si="24"/>
        <v>0</v>
      </c>
      <c r="M61" s="225">
        <f t="shared" si="24"/>
        <v>66.403103696832204</v>
      </c>
      <c r="N61" s="225">
        <f t="shared" si="24"/>
        <v>65.20238554759726</v>
      </c>
      <c r="O61" s="225">
        <f t="shared" si="24"/>
        <v>64.14252486101384</v>
      </c>
      <c r="P61" s="225">
        <f t="shared" si="24"/>
        <v>63.130253190667311</v>
      </c>
      <c r="Q61" s="225">
        <f t="shared" si="24"/>
        <v>62.133956786913473</v>
      </c>
      <c r="R61" s="225">
        <f t="shared" si="24"/>
        <v>0</v>
      </c>
      <c r="S61" s="126"/>
      <c r="T61" s="126"/>
      <c r="U61" s="126"/>
      <c r="V61" s="126"/>
      <c r="W61" s="126"/>
      <c r="X61" s="126"/>
      <c r="Y61" s="126"/>
      <c r="Z61" s="126"/>
    </row>
    <row r="62" spans="1:26" x14ac:dyDescent="0.25">
      <c r="L62" s="299"/>
      <c r="M62" s="341"/>
      <c r="N62" s="341"/>
      <c r="O62" s="341"/>
      <c r="P62" s="341"/>
      <c r="Q62" s="341"/>
      <c r="R62" s="299"/>
    </row>
    <row r="63" spans="1:26" x14ac:dyDescent="0.25">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25">
      <c r="C65" s="144" t="s">
        <v>263</v>
      </c>
    </row>
    <row r="67" spans="1:16383" x14ac:dyDescent="0.25">
      <c r="B67" s="80" t="s">
        <v>149</v>
      </c>
    </row>
    <row r="68" spans="1:16383" s="253" customFormat="1" x14ac:dyDescent="0.25">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5">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9.9975945132209088E-3</v>
      </c>
      <c r="Q69" s="253">
        <f>Index!Q$135</f>
        <v>9.9706606165028688E-3</v>
      </c>
      <c r="R69" s="253">
        <f>Index!R$135</f>
        <v>9.9999999999997868E-3</v>
      </c>
    </row>
    <row r="70" spans="1:16383" s="213" customFormat="1" x14ac:dyDescent="0.25">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3.0997594513221483E-2</v>
      </c>
      <c r="Q70" s="213">
        <f t="shared" si="26"/>
        <v>3.0970660616504109E-2</v>
      </c>
      <c r="R70" s="213">
        <f t="shared" si="26"/>
        <v>2.9999999999998916E-2</v>
      </c>
      <c r="S70" s="218"/>
      <c r="T70" s="218"/>
      <c r="U70" s="218"/>
      <c r="V70" s="218"/>
      <c r="W70" s="218"/>
      <c r="X70" s="218"/>
      <c r="Y70" s="218"/>
      <c r="Z70" s="218"/>
    </row>
    <row r="71" spans="1:16383" s="213" customFormat="1" x14ac:dyDescent="0.25">
      <c r="A71" s="214"/>
      <c r="B71" s="215"/>
      <c r="C71" s="216"/>
      <c r="D71" s="217"/>
      <c r="S71" s="218"/>
      <c r="T71" s="218"/>
      <c r="U71" s="218"/>
      <c r="V71" s="218"/>
      <c r="W71" s="218"/>
      <c r="X71" s="218"/>
      <c r="Y71" s="218"/>
      <c r="Z71" s="218"/>
    </row>
    <row r="72" spans="1:16383" x14ac:dyDescent="0.25">
      <c r="B72" s="80" t="s">
        <v>151</v>
      </c>
    </row>
    <row r="73" spans="1:16383" s="199" customFormat="1" x14ac:dyDescent="0.25">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953.83984644932923</v>
      </c>
      <c r="N73" s="292">
        <f t="shared" si="27"/>
        <v>928.33397343608226</v>
      </c>
      <c r="O73" s="292">
        <f t="shared" si="27"/>
        <v>921.71071946613665</v>
      </c>
      <c r="P73" s="292">
        <f t="shared" si="27"/>
        <v>933.31540167741332</v>
      </c>
      <c r="Q73" s="292">
        <f t="shared" si="27"/>
        <v>917.6939473049672</v>
      </c>
      <c r="R73" s="292">
        <f t="shared" si="27"/>
        <v>902.31038582178894</v>
      </c>
    </row>
    <row r="74" spans="1:16383" s="213" customFormat="1" x14ac:dyDescent="0.25">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3.0997594513221483E-2</v>
      </c>
      <c r="Q74" s="213">
        <f t="shared" si="28"/>
        <v>3.0970660616504109E-2</v>
      </c>
      <c r="R74" s="213">
        <f t="shared" si="28"/>
        <v>2.9999999999998916E-2</v>
      </c>
      <c r="S74" s="218"/>
      <c r="T74" s="218"/>
      <c r="U74" s="218"/>
      <c r="V74" s="218"/>
      <c r="W74" s="218"/>
      <c r="X74" s="218"/>
      <c r="Y74" s="218"/>
      <c r="Z74" s="218"/>
    </row>
    <row r="75" spans="1:16383" x14ac:dyDescent="0.25">
      <c r="E75" s="56" t="s">
        <v>152</v>
      </c>
      <c r="G75" s="201" t="s">
        <v>88</v>
      </c>
      <c r="J75" s="225">
        <f t="shared" ref="J75:L75" si="29">J73*J74</f>
        <v>0</v>
      </c>
      <c r="K75" s="225">
        <f t="shared" si="29"/>
        <v>0</v>
      </c>
      <c r="L75" s="225">
        <f t="shared" si="29"/>
        <v>0</v>
      </c>
      <c r="M75" s="225">
        <f>M73*M74</f>
        <v>19.562663182716761</v>
      </c>
      <c r="N75" s="225">
        <f t="shared" ref="N75:R75" si="30">N73*N74</f>
        <v>38.123738072921192</v>
      </c>
      <c r="O75" s="225">
        <f t="shared" si="30"/>
        <v>56.915055596685264</v>
      </c>
      <c r="P75" s="225">
        <f t="shared" si="30"/>
        <v>28.930532374140892</v>
      </c>
      <c r="Q75" s="225">
        <f t="shared" si="30"/>
        <v>28.421587791802143</v>
      </c>
      <c r="R75" s="225">
        <f t="shared" si="30"/>
        <v>27.069311574652691</v>
      </c>
    </row>
    <row r="77" spans="1:16383" s="253" customFormat="1" x14ac:dyDescent="0.25">
      <c r="A77" s="249"/>
      <c r="B77" s="250"/>
      <c r="C77" s="251"/>
      <c r="D77" s="252"/>
      <c r="E77" s="49" t="str">
        <f xml:space="preserve"> InpR!E$96</f>
        <v>Run-off rate - CPI(H) + RPI wedge - active - WWN</v>
      </c>
      <c r="F77" s="253">
        <f xml:space="preserve"> InpR!F$96</f>
        <v>0</v>
      </c>
      <c r="G77" s="271" t="str">
        <f xml:space="preserve"> InpR!G$96</f>
        <v>%</v>
      </c>
      <c r="H77" s="253" t="str">
        <f xml:space="preserve"> InpR!I$96</f>
        <v>PR19 Financial model, 'F_OutputsMaster' sheet row 959, PR19FM2096POST</v>
      </c>
      <c r="I77" s="253" t="e">
        <f xml:space="preserve"> InpR!#REF!</f>
        <v>#REF!</v>
      </c>
      <c r="J77" s="253">
        <f xml:space="preserve"> InpR!J$96</f>
        <v>0</v>
      </c>
      <c r="K77" s="253">
        <f xml:space="preserve"> InpR!K$96</f>
        <v>0</v>
      </c>
      <c r="L77" s="253">
        <f xml:space="preserve"> InpR!L$96</f>
        <v>0</v>
      </c>
      <c r="M77" s="253">
        <f xml:space="preserve"> InpR!M$96</f>
        <v>4.6300000000000001E-2</v>
      </c>
      <c r="N77" s="253">
        <f xml:space="preserve"> InpR!N$96</f>
        <v>4.6300000000000001E-2</v>
      </c>
      <c r="O77" s="253">
        <f xml:space="preserve"> InpR!O$96</f>
        <v>4.6300000000000001E-2</v>
      </c>
      <c r="P77" s="253">
        <f xml:space="preserve"> InpR!P$96</f>
        <v>4.6300000000000001E-2</v>
      </c>
      <c r="Q77" s="253">
        <f xml:space="preserve"> InpR!Q$96</f>
        <v>4.6300000000000001E-2</v>
      </c>
      <c r="R77" s="253">
        <f xml:space="preserve"> InpR!R$96</f>
        <v>0</v>
      </c>
    </row>
    <row r="78" spans="1:16383" s="199" customFormat="1" x14ac:dyDescent="0.25">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953.83984644932923</v>
      </c>
      <c r="N78" s="292">
        <f t="shared" si="31"/>
        <v>928.33397343608226</v>
      </c>
      <c r="O78" s="292">
        <f t="shared" si="31"/>
        <v>921.71071946613665</v>
      </c>
      <c r="P78" s="292">
        <f t="shared" si="31"/>
        <v>933.31540167741332</v>
      </c>
      <c r="Q78" s="292">
        <f t="shared" si="31"/>
        <v>917.6939473049672</v>
      </c>
      <c r="R78" s="292">
        <f t="shared" si="31"/>
        <v>902.31038582178894</v>
      </c>
    </row>
    <row r="79" spans="1:16383" x14ac:dyDescent="0.25">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19.562663182716761</v>
      </c>
      <c r="N79" s="225">
        <f t="shared" si="32"/>
        <v>38.123738072921192</v>
      </c>
      <c r="O79" s="225">
        <f t="shared" si="32"/>
        <v>56.915055596685264</v>
      </c>
      <c r="P79" s="225">
        <f t="shared" si="32"/>
        <v>28.930532374140892</v>
      </c>
      <c r="Q79" s="225">
        <f t="shared" si="32"/>
        <v>28.421587791802143</v>
      </c>
      <c r="R79" s="225">
        <f t="shared" si="32"/>
        <v>27.069311574652691</v>
      </c>
    </row>
    <row r="80" spans="1:16383" x14ac:dyDescent="0.25">
      <c r="E80" s="56" t="s">
        <v>153</v>
      </c>
      <c r="F80" s="295"/>
      <c r="G80" s="295" t="s">
        <v>88</v>
      </c>
      <c r="H80" s="295"/>
      <c r="I80" s="295"/>
      <c r="J80" s="225">
        <f t="shared" ref="J80:R80" si="33" xml:space="preserve"> (J78+J79) * J77</f>
        <v>0</v>
      </c>
      <c r="K80" s="225">
        <f t="shared" si="33"/>
        <v>0</v>
      </c>
      <c r="L80" s="225">
        <f t="shared" si="33"/>
        <v>0</v>
      </c>
      <c r="M80" s="225">
        <f t="shared" si="33"/>
        <v>45.068536195963731</v>
      </c>
      <c r="N80" s="225">
        <f xml:space="preserve"> (N78+N79) * N77</f>
        <v>44.746992042866864</v>
      </c>
      <c r="O80" s="225">
        <f t="shared" si="33"/>
        <v>45.31037338540866</v>
      </c>
      <c r="P80" s="225">
        <f t="shared" si="33"/>
        <v>44.551986746586962</v>
      </c>
      <c r="Q80" s="225">
        <f t="shared" si="33"/>
        <v>43.805149274980423</v>
      </c>
      <c r="R80" s="225">
        <f t="shared" si="33"/>
        <v>0</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5">
      <c r="E81" s="304"/>
      <c r="F81" s="304"/>
      <c r="G81" s="304"/>
      <c r="H81" s="304"/>
    </row>
    <row r="82" spans="1:26" s="242" customFormat="1" x14ac:dyDescent="0.25">
      <c r="A82" s="238"/>
      <c r="B82" s="239"/>
      <c r="C82" s="240"/>
      <c r="D82" s="241"/>
      <c r="E82" s="302" t="str">
        <f>InpR!$E$89</f>
        <v>RCV - CPI(H) + RPI wedge initial balance - nominal - WWN</v>
      </c>
      <c r="F82" s="302">
        <f>InpR!$F$89</f>
        <v>953.83984644932923</v>
      </c>
      <c r="G82" s="302" t="str">
        <f>InpR!$G$89</f>
        <v>£m</v>
      </c>
      <c r="H82" s="303"/>
    </row>
    <row r="83" spans="1:26" s="49" customFormat="1" x14ac:dyDescent="0.25">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5">
      <c r="A84" s="67"/>
      <c r="B84" s="78"/>
      <c r="C84" s="142"/>
      <c r="D84" s="72"/>
      <c r="S84" s="59"/>
      <c r="T84" s="59"/>
      <c r="U84" s="59"/>
      <c r="V84" s="59"/>
      <c r="W84" s="59"/>
      <c r="X84" s="59"/>
      <c r="Y84" s="59"/>
      <c r="Z84" s="59"/>
    </row>
    <row r="85" spans="1:26" s="59" customFormat="1" x14ac:dyDescent="0.25">
      <c r="A85" s="66"/>
      <c r="B85" s="70"/>
      <c r="C85" s="145"/>
      <c r="D85" s="75"/>
      <c r="E85" s="56" t="s">
        <v>154</v>
      </c>
      <c r="G85" s="201" t="s">
        <v>88</v>
      </c>
      <c r="J85" s="293">
        <f t="shared" ref="J85:R85" si="34" xml:space="preserve"> I88</f>
        <v>0</v>
      </c>
      <c r="K85" s="293">
        <f t="shared" si="34"/>
        <v>0</v>
      </c>
      <c r="L85" s="293">
        <f t="shared" si="34"/>
        <v>0</v>
      </c>
      <c r="M85" s="293">
        <f t="shared" si="34"/>
        <v>953.83984644932923</v>
      </c>
      <c r="N85" s="293">
        <f t="shared" si="34"/>
        <v>928.33397343608226</v>
      </c>
      <c r="O85" s="293">
        <f t="shared" si="34"/>
        <v>921.71071946613665</v>
      </c>
      <c r="P85" s="293">
        <f t="shared" si="34"/>
        <v>933.31540167741332</v>
      </c>
      <c r="Q85" s="293">
        <f t="shared" si="34"/>
        <v>917.6939473049672</v>
      </c>
      <c r="R85" s="293">
        <f t="shared" si="34"/>
        <v>902.31038582178894</v>
      </c>
    </row>
    <row r="86" spans="1:26" s="59" customFormat="1" x14ac:dyDescent="0.25">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19.562663182716761</v>
      </c>
      <c r="N86" s="293">
        <f t="shared" si="35"/>
        <v>38.123738072921192</v>
      </c>
      <c r="O86" s="293">
        <f t="shared" si="35"/>
        <v>56.915055596685264</v>
      </c>
      <c r="P86" s="293">
        <f t="shared" si="35"/>
        <v>28.930532374140892</v>
      </c>
      <c r="Q86" s="293">
        <f t="shared" si="35"/>
        <v>28.421587791802143</v>
      </c>
      <c r="R86" s="293">
        <f t="shared" si="35"/>
        <v>27.069311574652691</v>
      </c>
    </row>
    <row r="87" spans="1:26" s="59" customFormat="1" x14ac:dyDescent="0.25">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45.068536195963731</v>
      </c>
      <c r="N87" s="293">
        <f t="shared" si="36"/>
        <v>44.746992042866864</v>
      </c>
      <c r="O87" s="293">
        <f t="shared" si="36"/>
        <v>45.31037338540866</v>
      </c>
      <c r="P87" s="293">
        <f t="shared" si="36"/>
        <v>44.551986746586962</v>
      </c>
      <c r="Q87" s="293">
        <f t="shared" si="36"/>
        <v>43.805149274980423</v>
      </c>
      <c r="R87" s="293">
        <f t="shared" si="36"/>
        <v>0</v>
      </c>
    </row>
    <row r="88" spans="1:26" s="173" customFormat="1" x14ac:dyDescent="0.25">
      <c r="A88" s="169"/>
      <c r="B88" s="170"/>
      <c r="C88" s="171"/>
      <c r="D88" s="172"/>
      <c r="E88" s="173" t="s">
        <v>155</v>
      </c>
      <c r="G88" s="202" t="s">
        <v>88</v>
      </c>
      <c r="J88" s="294">
        <f t="shared" ref="J88:R88" si="37" xml:space="preserve"> IF( J83 = 1, $F82, J85 + J86 - J87)</f>
        <v>0</v>
      </c>
      <c r="K88" s="294">
        <f t="shared" si="37"/>
        <v>0</v>
      </c>
      <c r="L88" s="294">
        <f t="shared" si="37"/>
        <v>953.83984644932923</v>
      </c>
      <c r="M88" s="294">
        <f t="shared" si="37"/>
        <v>928.33397343608226</v>
      </c>
      <c r="N88" s="294">
        <f t="shared" si="37"/>
        <v>921.71071946613665</v>
      </c>
      <c r="O88" s="294">
        <f t="shared" si="37"/>
        <v>933.31540167741332</v>
      </c>
      <c r="P88" s="294">
        <f t="shared" si="37"/>
        <v>917.6939473049672</v>
      </c>
      <c r="Q88" s="294">
        <f t="shared" si="37"/>
        <v>902.31038582178894</v>
      </c>
      <c r="R88" s="294">
        <f t="shared" si="37"/>
        <v>929.37969739644166</v>
      </c>
    </row>
    <row r="90" spans="1:26" s="126" customFormat="1" x14ac:dyDescent="0.25">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953.83984644932923</v>
      </c>
      <c r="N90" s="226">
        <f t="shared" si="38"/>
        <v>928.33397343608226</v>
      </c>
      <c r="O90" s="226">
        <f t="shared" si="38"/>
        <v>921.71071946613665</v>
      </c>
      <c r="P90" s="226">
        <f t="shared" si="38"/>
        <v>933.31540167741332</v>
      </c>
      <c r="Q90" s="226">
        <f t="shared" si="38"/>
        <v>917.6939473049672</v>
      </c>
      <c r="R90" s="226">
        <f t="shared" si="38"/>
        <v>902.31038582178894</v>
      </c>
    </row>
    <row r="91" spans="1:26" s="126" customFormat="1" x14ac:dyDescent="0.25">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19.562663182716761</v>
      </c>
      <c r="N91" s="293">
        <f t="shared" si="39"/>
        <v>38.123738072921192</v>
      </c>
      <c r="O91" s="293">
        <f t="shared" si="39"/>
        <v>56.915055596685264</v>
      </c>
      <c r="P91" s="293">
        <f t="shared" si="39"/>
        <v>28.930532374140892</v>
      </c>
      <c r="Q91" s="293">
        <f t="shared" si="39"/>
        <v>28.421587791802143</v>
      </c>
      <c r="R91" s="293">
        <f t="shared" si="39"/>
        <v>27.069311574652691</v>
      </c>
    </row>
    <row r="92" spans="1:26" s="126" customFormat="1" x14ac:dyDescent="0.25">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953.83984644932923</v>
      </c>
      <c r="M92" s="226">
        <f t="shared" si="40"/>
        <v>928.33397343608226</v>
      </c>
      <c r="N92" s="226">
        <f t="shared" si="40"/>
        <v>921.71071946613665</v>
      </c>
      <c r="O92" s="226">
        <f t="shared" si="40"/>
        <v>933.31540167741332</v>
      </c>
      <c r="P92" s="226">
        <f t="shared" si="40"/>
        <v>917.6939473049672</v>
      </c>
      <c r="Q92" s="226">
        <f t="shared" si="40"/>
        <v>902.31038582178894</v>
      </c>
      <c r="R92" s="226">
        <f t="shared" si="40"/>
        <v>929.37969739644166</v>
      </c>
    </row>
    <row r="93" spans="1:26" s="60" customFormat="1" x14ac:dyDescent="0.25">
      <c r="A93" s="68"/>
      <c r="B93" s="80"/>
      <c r="C93" s="144"/>
      <c r="D93" s="76"/>
      <c r="E93" s="56" t="s">
        <v>173</v>
      </c>
      <c r="G93" s="126" t="s">
        <v>88</v>
      </c>
      <c r="H93" s="296"/>
      <c r="I93" s="296"/>
      <c r="J93" s="226">
        <f t="shared" ref="J93:K93" si="41" xml:space="preserve"> ( (J90+J91) + J92) / 2</f>
        <v>0</v>
      </c>
      <c r="K93" s="226">
        <f t="shared" si="41"/>
        <v>0</v>
      </c>
      <c r="L93" s="226">
        <f xml:space="preserve"> ( (L90+L91) + L92) / 2</f>
        <v>476.91992322466461</v>
      </c>
      <c r="M93" s="226">
        <f xml:space="preserve"> ( (M90+M91) + M92) / 2</f>
        <v>950.86824153406405</v>
      </c>
      <c r="N93" s="226">
        <f t="shared" ref="N93:P93" si="42" xml:space="preserve"> ( (N90+N91) + N92) / 2</f>
        <v>944.08421548757008</v>
      </c>
      <c r="O93" s="226">
        <f t="shared" si="42"/>
        <v>955.97058837011764</v>
      </c>
      <c r="P93" s="226">
        <f t="shared" si="42"/>
        <v>939.96994067826063</v>
      </c>
      <c r="Q93" s="226">
        <f xml:space="preserve"> ( (Q90+Q91) + Q92) / 2</f>
        <v>924.2129604592792</v>
      </c>
      <c r="R93" s="226">
        <f t="shared" ref="R93" si="43" xml:space="preserve"> ( (R90+R91) + R92) / 2</f>
        <v>929.37969739644166</v>
      </c>
    </row>
    <row r="94" spans="1:26" s="60" customFormat="1" x14ac:dyDescent="0.25">
      <c r="A94" s="68"/>
      <c r="B94" s="80"/>
      <c r="C94" s="144"/>
      <c r="D94" s="76"/>
      <c r="J94" s="126"/>
      <c r="K94" s="126"/>
      <c r="L94" s="126"/>
      <c r="M94" s="126"/>
      <c r="N94" s="126"/>
      <c r="O94" s="126"/>
      <c r="P94" s="126"/>
      <c r="Q94" s="126"/>
      <c r="R94" s="126"/>
    </row>
    <row r="95" spans="1:26" x14ac:dyDescent="0.25">
      <c r="B95" s="80" t="s">
        <v>156</v>
      </c>
    </row>
    <row r="96" spans="1:26" s="253" customFormat="1" x14ac:dyDescent="0.25">
      <c r="A96" s="249"/>
      <c r="B96" s="250"/>
      <c r="C96" s="251"/>
      <c r="D96" s="252"/>
      <c r="E96" s="253" t="str">
        <f xml:space="preserve"> InpR!E$103</f>
        <v>WACC on RCV - CPI(H) + RPI wedge bf and additions - WWN</v>
      </c>
      <c r="F96" s="253">
        <f xml:space="preserve"> InpR!F$103</f>
        <v>0</v>
      </c>
      <c r="G96" s="271" t="str">
        <f xml:space="preserve"> InpR!G$103</f>
        <v>%</v>
      </c>
      <c r="H96" s="253" t="str">
        <f xml:space="preserve"> InpR!I$103</f>
        <v>PR19 Financial model, 'Wastewater Network' sheet row 980</v>
      </c>
      <c r="I96" s="253" t="e">
        <f xml:space="preserve"> InpR!#REF!</f>
        <v>#REF!</v>
      </c>
      <c r="J96" s="253">
        <f xml:space="preserve"> InpR!J$103</f>
        <v>0</v>
      </c>
      <c r="K96" s="253">
        <f xml:space="preserve"> InpR!K$103</f>
        <v>0</v>
      </c>
      <c r="L96" s="253">
        <f xml:space="preserve"> InpR!L$103</f>
        <v>0</v>
      </c>
      <c r="M96" s="253">
        <f xml:space="preserve"> InpR!M$103</f>
        <v>2.2181345335277269E-2</v>
      </c>
      <c r="N96" s="253">
        <f xml:space="preserve"> InpR!N$103</f>
        <v>2.2181345335277269E-2</v>
      </c>
      <c r="O96" s="253">
        <f xml:space="preserve"> InpR!O$103</f>
        <v>2.2181345335277269E-2</v>
      </c>
      <c r="P96" s="253">
        <f xml:space="preserve"> InpR!P$103</f>
        <v>2.2181345335277269E-2</v>
      </c>
      <c r="Q96" s="253">
        <f xml:space="preserve"> InpR!Q$103</f>
        <v>2.2181345335277269E-2</v>
      </c>
      <c r="R96" s="253">
        <f xml:space="preserve"> InpR!R$103</f>
        <v>0</v>
      </c>
    </row>
    <row r="97" spans="1:26" s="126" customFormat="1" x14ac:dyDescent="0.25">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5">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476.91992322466461</v>
      </c>
      <c r="M98" s="225">
        <f t="shared" si="44"/>
        <v>950.86824153406405</v>
      </c>
      <c r="N98" s="225">
        <f t="shared" si="44"/>
        <v>944.08421548757008</v>
      </c>
      <c r="O98" s="225">
        <f t="shared" si="44"/>
        <v>955.97058837011764</v>
      </c>
      <c r="P98" s="225">
        <f t="shared" si="44"/>
        <v>939.96994067826063</v>
      </c>
      <c r="Q98" s="225">
        <f t="shared" si="44"/>
        <v>924.2129604592792</v>
      </c>
      <c r="R98" s="225">
        <f t="shared" si="44"/>
        <v>929.37969739644166</v>
      </c>
    </row>
    <row r="99" spans="1:26" x14ac:dyDescent="0.25">
      <c r="E99" s="56" t="s">
        <v>157</v>
      </c>
      <c r="F99" s="295"/>
      <c r="G99" s="225" t="s">
        <v>88</v>
      </c>
      <c r="H99" s="295"/>
      <c r="I99" s="295"/>
      <c r="J99" s="295">
        <f t="shared" ref="J99:K99" si="45">J96*J97*J98</f>
        <v>0</v>
      </c>
      <c r="K99" s="295">
        <f t="shared" si="45"/>
        <v>0</v>
      </c>
      <c r="L99" s="295">
        <f>L96*L97*L98</f>
        <v>0</v>
      </c>
      <c r="M99" s="295">
        <f>M96*M97*M98</f>
        <v>21.09153683381491</v>
      </c>
      <c r="N99" s="295">
        <f t="shared" ref="N99:R99" si="46">N96*N97*N98</f>
        <v>20.941058009314112</v>
      </c>
      <c r="O99" s="295">
        <f t="shared" si="46"/>
        <v>21.204713751005777</v>
      </c>
      <c r="P99" s="295">
        <f t="shared" si="46"/>
        <v>20.849797858964589</v>
      </c>
      <c r="Q99" s="295">
        <f t="shared" si="46"/>
        <v>20.500286839286229</v>
      </c>
      <c r="R99" s="295">
        <f t="shared" si="46"/>
        <v>0</v>
      </c>
    </row>
    <row r="101" spans="1:26" x14ac:dyDescent="0.25">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5">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953.83984644932923</v>
      </c>
      <c r="M102" s="226">
        <f t="shared" si="47"/>
        <v>928.33397343608226</v>
      </c>
      <c r="N102" s="226">
        <f t="shared" si="47"/>
        <v>921.71071946613665</v>
      </c>
      <c r="O102" s="226">
        <f t="shared" si="47"/>
        <v>933.31540167741332</v>
      </c>
      <c r="P102" s="226">
        <f t="shared" si="47"/>
        <v>917.6939473049672</v>
      </c>
      <c r="Q102" s="226">
        <f t="shared" si="47"/>
        <v>902.31038582178894</v>
      </c>
      <c r="R102" s="226">
        <f t="shared" si="47"/>
        <v>929.37969739644166</v>
      </c>
    </row>
    <row r="103" spans="1:26" x14ac:dyDescent="0.25">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902.31038582178894</v>
      </c>
      <c r="R103" s="225">
        <f t="shared" si="48"/>
        <v>0</v>
      </c>
    </row>
    <row r="104" spans="1:26" x14ac:dyDescent="0.25">
      <c r="J104" s="125"/>
      <c r="K104" s="125"/>
      <c r="L104" s="125"/>
      <c r="M104" s="125"/>
      <c r="N104" s="125"/>
      <c r="O104" s="125"/>
      <c r="P104" s="125"/>
      <c r="Q104" s="125"/>
      <c r="R104" s="125"/>
    </row>
    <row r="105" spans="1:26" x14ac:dyDescent="0.25">
      <c r="B105" s="80" t="s">
        <v>158</v>
      </c>
    </row>
    <row r="106" spans="1:26" x14ac:dyDescent="0.25">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45.068536195963731</v>
      </c>
      <c r="N106" s="225">
        <f t="shared" si="49"/>
        <v>44.746992042866864</v>
      </c>
      <c r="O106" s="225">
        <f t="shared" si="49"/>
        <v>45.31037338540866</v>
      </c>
      <c r="P106" s="225">
        <f t="shared" si="49"/>
        <v>44.551986746586962</v>
      </c>
      <c r="Q106" s="225">
        <f t="shared" si="49"/>
        <v>43.805149274980423</v>
      </c>
      <c r="R106" s="225">
        <f t="shared" si="49"/>
        <v>0</v>
      </c>
    </row>
    <row r="107" spans="1:26" s="125" customFormat="1" x14ac:dyDescent="0.25">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21.09153683381491</v>
      </c>
      <c r="N107" s="225">
        <f t="shared" si="50"/>
        <v>20.941058009314112</v>
      </c>
      <c r="O107" s="225">
        <f t="shared" si="50"/>
        <v>21.204713751005777</v>
      </c>
      <c r="P107" s="225">
        <f t="shared" si="50"/>
        <v>20.849797858964589</v>
      </c>
      <c r="Q107" s="225">
        <f t="shared" si="50"/>
        <v>20.500286839286229</v>
      </c>
      <c r="R107" s="225">
        <f t="shared" si="50"/>
        <v>0</v>
      </c>
      <c r="S107" s="126"/>
      <c r="T107" s="126"/>
      <c r="U107" s="126"/>
      <c r="V107" s="126"/>
      <c r="W107" s="126"/>
      <c r="X107" s="126"/>
      <c r="Y107" s="126"/>
      <c r="Z107" s="126"/>
    </row>
    <row r="108" spans="1:26" x14ac:dyDescent="0.25">
      <c r="E108" s="56" t="s">
        <v>266</v>
      </c>
      <c r="F108" s="295"/>
      <c r="G108" s="225" t="str">
        <f t="shared" si="50"/>
        <v>£m</v>
      </c>
      <c r="H108" s="295">
        <f>SUM(J108:R108)</f>
        <v>328.0704309381922</v>
      </c>
      <c r="I108" s="295"/>
      <c r="J108" s="295">
        <f t="shared" ref="J108:R108" si="51">SUM(J106:J107)</f>
        <v>0</v>
      </c>
      <c r="K108" s="295">
        <f t="shared" si="51"/>
        <v>0</v>
      </c>
      <c r="L108" s="295">
        <f t="shared" si="51"/>
        <v>0</v>
      </c>
      <c r="M108" s="295">
        <f t="shared" si="51"/>
        <v>66.160073029778644</v>
      </c>
      <c r="N108" s="295">
        <f t="shared" si="51"/>
        <v>65.688050052180984</v>
      </c>
      <c r="O108" s="295">
        <f t="shared" si="51"/>
        <v>66.515087136414436</v>
      </c>
      <c r="P108" s="295">
        <f t="shared" si="51"/>
        <v>65.401784605551555</v>
      </c>
      <c r="Q108" s="295">
        <f t="shared" si="51"/>
        <v>64.305436114266655</v>
      </c>
      <c r="R108" s="295">
        <f t="shared" si="51"/>
        <v>0</v>
      </c>
    </row>
    <row r="110" spans="1:26" x14ac:dyDescent="0.25">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25">
      <c r="C112" s="144" t="s">
        <v>265</v>
      </c>
    </row>
    <row r="114" spans="1:26" x14ac:dyDescent="0.25">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66.403103696832204</v>
      </c>
      <c r="N114" s="225">
        <f t="shared" si="52"/>
        <v>65.20238554759726</v>
      </c>
      <c r="O114" s="225">
        <f t="shared" si="52"/>
        <v>64.14252486101384</v>
      </c>
      <c r="P114" s="225">
        <f t="shared" si="52"/>
        <v>63.130253190667311</v>
      </c>
      <c r="Q114" s="225">
        <f t="shared" si="52"/>
        <v>62.133956786913473</v>
      </c>
      <c r="R114" s="225">
        <f xml:space="preserve"> R$61</f>
        <v>0</v>
      </c>
    </row>
    <row r="115" spans="1:26" x14ac:dyDescent="0.25">
      <c r="E115" s="56" t="str">
        <f t="shared" ref="E115:R115" si="53" xml:space="preserve"> E$108</f>
        <v>Total nominal revenue company should have received</v>
      </c>
      <c r="F115" s="225">
        <f t="shared" si="53"/>
        <v>0</v>
      </c>
      <c r="G115" s="225" t="str">
        <f t="shared" si="53"/>
        <v>£m</v>
      </c>
      <c r="H115" s="225">
        <f t="shared" si="53"/>
        <v>328.0704309381922</v>
      </c>
      <c r="I115" s="225">
        <f t="shared" si="53"/>
        <v>0</v>
      </c>
      <c r="J115" s="225">
        <f t="shared" si="53"/>
        <v>0</v>
      </c>
      <c r="K115" s="225">
        <f t="shared" si="53"/>
        <v>0</v>
      </c>
      <c r="L115" s="225">
        <f t="shared" si="53"/>
        <v>0</v>
      </c>
      <c r="M115" s="225">
        <f t="shared" si="53"/>
        <v>66.160073029778644</v>
      </c>
      <c r="N115" s="225">
        <f t="shared" si="53"/>
        <v>65.688050052180984</v>
      </c>
      <c r="O115" s="225">
        <f t="shared" si="53"/>
        <v>66.515087136414436</v>
      </c>
      <c r="P115" s="225">
        <f t="shared" si="53"/>
        <v>65.401784605551555</v>
      </c>
      <c r="Q115" s="225">
        <f t="shared" si="53"/>
        <v>64.305436114266655</v>
      </c>
      <c r="R115" s="225">
        <f t="shared" si="53"/>
        <v>0</v>
      </c>
    </row>
    <row r="116" spans="1:26" s="225" customFormat="1" x14ac:dyDescent="0.25">
      <c r="A116" s="221"/>
      <c r="B116" s="222"/>
      <c r="C116" s="223"/>
      <c r="D116" s="224"/>
      <c r="E116" s="56" t="s">
        <v>267</v>
      </c>
      <c r="G116" s="225" t="str">
        <f t="shared" ref="G116" si="54" xml:space="preserve"> G$99</f>
        <v>£m</v>
      </c>
      <c r="H116" s="295">
        <f>SUM(J116:R116)</f>
        <v>7.0582068551681871</v>
      </c>
      <c r="M116" s="225">
        <f>M115-M114</f>
        <v>-0.24303066705356002</v>
      </c>
      <c r="N116" s="225">
        <f t="shared" ref="N116:Q116" si="55">N115-N114</f>
        <v>0.48566450458372401</v>
      </c>
      <c r="O116" s="225">
        <f t="shared" si="55"/>
        <v>2.3725622754005968</v>
      </c>
      <c r="P116" s="225">
        <f t="shared" si="55"/>
        <v>2.2715314148842438</v>
      </c>
      <c r="Q116" s="225">
        <f t="shared" si="55"/>
        <v>2.1714793273531825</v>
      </c>
      <c r="S116" s="226"/>
      <c r="T116" s="226"/>
      <c r="U116" s="226"/>
      <c r="V116" s="226"/>
      <c r="W116" s="226"/>
      <c r="X116" s="226"/>
      <c r="Y116" s="226"/>
      <c r="Z116" s="226"/>
    </row>
    <row r="118" spans="1:26" x14ac:dyDescent="0.25">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25">
      <c r="C120" s="144" t="s">
        <v>264</v>
      </c>
    </row>
    <row r="121" spans="1:26" x14ac:dyDescent="0.25">
      <c r="C121" s="144" t="s">
        <v>159</v>
      </c>
    </row>
    <row r="122" spans="1:26" x14ac:dyDescent="0.25">
      <c r="C122" s="144" t="s">
        <v>160</v>
      </c>
    </row>
    <row r="124" spans="1:26" s="253" customFormat="1" x14ac:dyDescent="0.25">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5">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5">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25">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953.83984644932923</v>
      </c>
      <c r="N128" s="297">
        <f t="shared" si="58"/>
        <v>931.7440909658967</v>
      </c>
      <c r="O128" s="297">
        <f t="shared" si="58"/>
        <v>914.89605257340008</v>
      </c>
      <c r="P128" s="297">
        <f t="shared" si="58"/>
        <v>900.02447463511965</v>
      </c>
      <c r="Q128" s="297">
        <f t="shared" si="58"/>
        <v>885.82064838621864</v>
      </c>
      <c r="R128" s="297">
        <f t="shared" si="58"/>
        <v>871.84098124164655</v>
      </c>
    </row>
    <row r="129" spans="1:16383" x14ac:dyDescent="0.25">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25">
      <c r="A130" s="89"/>
      <c r="B130" s="95"/>
      <c r="C130" s="332"/>
      <c r="D130" s="91"/>
      <c r="E130" s="56" t="s">
        <v>162</v>
      </c>
      <c r="G130" s="125" t="s">
        <v>88</v>
      </c>
      <c r="J130" s="298">
        <f>J128*J129</f>
        <v>0</v>
      </c>
      <c r="K130" s="298">
        <f t="shared" ref="K130:L130" si="60">K128*K129</f>
        <v>0</v>
      </c>
      <c r="L130" s="298">
        <f t="shared" si="60"/>
        <v>0</v>
      </c>
      <c r="M130" s="298">
        <f>M128*M129</f>
        <v>23.138334284545863</v>
      </c>
      <c r="N130" s="298">
        <f t="shared" ref="N130:R130" si="61">N128*N129</f>
        <v>27.568116828378272</v>
      </c>
      <c r="O130" s="298">
        <f t="shared" si="61"/>
        <v>28.822595465941014</v>
      </c>
      <c r="P130" s="298">
        <f t="shared" si="61"/>
        <v>28.800783188324452</v>
      </c>
      <c r="Q130" s="298">
        <f t="shared" si="61"/>
        <v>28.346260748358826</v>
      </c>
      <c r="R130" s="298">
        <f t="shared" si="61"/>
        <v>26.155229437249226</v>
      </c>
    </row>
    <row r="132" spans="1:16383" s="253" customFormat="1" x14ac:dyDescent="0.25">
      <c r="A132" s="249"/>
      <c r="B132" s="250"/>
      <c r="C132" s="251"/>
      <c r="D132" s="252"/>
      <c r="E132" s="49" t="str">
        <f xml:space="preserve"> InpR!E$96</f>
        <v>Run-off rate - CPI(H) + RPI wedge - active - WWN</v>
      </c>
      <c r="F132" s="253">
        <f xml:space="preserve"> InpR!F$96</f>
        <v>0</v>
      </c>
      <c r="G132" s="271" t="str">
        <f xml:space="preserve"> InpR!G$96</f>
        <v>%</v>
      </c>
      <c r="H132" s="253" t="str">
        <f xml:space="preserve"> InpR!I$96</f>
        <v>PR19 Financial model, 'F_OutputsMaster' sheet row 959, PR19FM2096POST</v>
      </c>
      <c r="I132" s="253" t="e">
        <f xml:space="preserve"> InpR!#REF!</f>
        <v>#REF!</v>
      </c>
      <c r="J132" s="253">
        <f xml:space="preserve"> InpR!J$96</f>
        <v>0</v>
      </c>
      <c r="K132" s="253">
        <f xml:space="preserve"> InpR!K$96</f>
        <v>0</v>
      </c>
      <c r="L132" s="253">
        <f xml:space="preserve"> InpR!L$96</f>
        <v>0</v>
      </c>
      <c r="M132" s="253">
        <f xml:space="preserve"> InpR!M$96</f>
        <v>4.6300000000000001E-2</v>
      </c>
      <c r="N132" s="253">
        <f xml:space="preserve"> InpR!N$96</f>
        <v>4.6300000000000001E-2</v>
      </c>
      <c r="O132" s="253">
        <f xml:space="preserve"> InpR!O$96</f>
        <v>4.6300000000000001E-2</v>
      </c>
      <c r="P132" s="253">
        <f xml:space="preserve"> InpR!P$96</f>
        <v>4.6300000000000001E-2</v>
      </c>
      <c r="Q132" s="253">
        <f xml:space="preserve"> InpR!Q$96</f>
        <v>4.6300000000000001E-2</v>
      </c>
      <c r="R132" s="253">
        <f xml:space="preserve"> InpR!R$96</f>
        <v>0</v>
      </c>
    </row>
    <row r="133" spans="1:16383" s="199" customFormat="1" x14ac:dyDescent="0.25">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953.83984644932923</v>
      </c>
      <c r="N133" s="297">
        <f t="shared" si="62"/>
        <v>931.7440909658967</v>
      </c>
      <c r="O133" s="297">
        <f t="shared" si="62"/>
        <v>914.89605257340008</v>
      </c>
      <c r="P133" s="297">
        <f t="shared" si="62"/>
        <v>900.02447463511965</v>
      </c>
      <c r="Q133" s="297">
        <f t="shared" si="62"/>
        <v>885.82064838621864</v>
      </c>
      <c r="R133" s="297">
        <f t="shared" si="62"/>
        <v>871.84098124164655</v>
      </c>
    </row>
    <row r="134" spans="1:16383" s="125" customFormat="1" x14ac:dyDescent="0.25">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23.138334284545863</v>
      </c>
      <c r="N134" s="298">
        <f t="shared" si="63"/>
        <v>27.568116828378272</v>
      </c>
      <c r="O134" s="298">
        <f t="shared" si="63"/>
        <v>28.822595465941014</v>
      </c>
      <c r="P134" s="298">
        <f t="shared" si="63"/>
        <v>28.800783188324452</v>
      </c>
      <c r="Q134" s="298">
        <f t="shared" si="63"/>
        <v>28.346260748358826</v>
      </c>
      <c r="R134" s="298">
        <f t="shared" si="63"/>
        <v>26.155229437249226</v>
      </c>
      <c r="S134" s="126"/>
      <c r="T134" s="126"/>
      <c r="U134" s="126"/>
      <c r="V134" s="126"/>
      <c r="W134" s="126"/>
      <c r="X134" s="126"/>
      <c r="Y134" s="126"/>
      <c r="Z134" s="126"/>
    </row>
    <row r="135" spans="1:16383" x14ac:dyDescent="0.25">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45.234089767978418</v>
      </c>
      <c r="N135" s="298">
        <f t="shared" si="64"/>
        <v>44.416155220874934</v>
      </c>
      <c r="O135" s="298">
        <f t="shared" si="64"/>
        <v>43.694173404221495</v>
      </c>
      <c r="P135" s="298">
        <f t="shared" si="64"/>
        <v>43.004609437225461</v>
      </c>
      <c r="Q135" s="298">
        <f t="shared" si="64"/>
        <v>42.325927892930942</v>
      </c>
      <c r="R135" s="298">
        <f t="shared" si="64"/>
        <v>0</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5">
      <c r="E136" s="304"/>
      <c r="F136" s="304"/>
      <c r="G136" s="304"/>
      <c r="H136" s="304"/>
    </row>
    <row r="137" spans="1:16383" s="242" customFormat="1" x14ac:dyDescent="0.25">
      <c r="A137" s="238"/>
      <c r="B137" s="239"/>
      <c r="C137" s="240"/>
      <c r="D137" s="241"/>
      <c r="E137" s="302" t="str">
        <f>InpR!$E$89</f>
        <v>RCV - CPI(H) + RPI wedge initial balance - nominal - WWN</v>
      </c>
      <c r="F137" s="302">
        <f>InpR!$F$89</f>
        <v>953.83984644932923</v>
      </c>
      <c r="G137" s="302" t="str">
        <f>InpR!$G$89</f>
        <v>£m</v>
      </c>
      <c r="H137" s="303"/>
    </row>
    <row r="138" spans="1:16383" s="49" customFormat="1" x14ac:dyDescent="0.25">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5">
      <c r="A139" s="67"/>
      <c r="B139" s="78"/>
      <c r="C139" s="142"/>
      <c r="D139" s="72"/>
      <c r="S139" s="59"/>
      <c r="T139" s="59"/>
      <c r="U139" s="59"/>
      <c r="V139" s="59"/>
      <c r="W139" s="59"/>
      <c r="X139" s="59"/>
      <c r="Y139" s="59"/>
      <c r="Z139" s="59"/>
    </row>
    <row r="140" spans="1:16383" s="59" customFormat="1" x14ac:dyDescent="0.25">
      <c r="A140" s="116"/>
      <c r="B140" s="337"/>
      <c r="C140" s="338"/>
      <c r="D140" s="339"/>
      <c r="E140" s="59" t="s">
        <v>163</v>
      </c>
      <c r="G140" s="201" t="s">
        <v>88</v>
      </c>
      <c r="J140" s="293">
        <f t="shared" ref="J140:R140" si="65" xml:space="preserve"> I143</f>
        <v>0</v>
      </c>
      <c r="K140" s="293">
        <f t="shared" si="65"/>
        <v>0</v>
      </c>
      <c r="L140" s="293">
        <f t="shared" si="65"/>
        <v>0</v>
      </c>
      <c r="M140" s="293">
        <f t="shared" si="65"/>
        <v>953.83984644932923</v>
      </c>
      <c r="N140" s="293">
        <f t="shared" si="65"/>
        <v>931.7440909658967</v>
      </c>
      <c r="O140" s="293">
        <f t="shared" si="65"/>
        <v>914.89605257340008</v>
      </c>
      <c r="P140" s="293">
        <f t="shared" si="65"/>
        <v>900.02447463511965</v>
      </c>
      <c r="Q140" s="293">
        <f t="shared" si="65"/>
        <v>885.82064838621864</v>
      </c>
      <c r="R140" s="293">
        <f t="shared" si="65"/>
        <v>871.84098124164655</v>
      </c>
    </row>
    <row r="141" spans="1:16383" s="59" customFormat="1" x14ac:dyDescent="0.25">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23.138334284545863</v>
      </c>
      <c r="N141" s="293">
        <f t="shared" si="66"/>
        <v>27.568116828378272</v>
      </c>
      <c r="O141" s="293">
        <f t="shared" si="66"/>
        <v>28.822595465941014</v>
      </c>
      <c r="P141" s="293">
        <f t="shared" si="66"/>
        <v>28.800783188324452</v>
      </c>
      <c r="Q141" s="293">
        <f t="shared" si="66"/>
        <v>28.346260748358826</v>
      </c>
      <c r="R141" s="293">
        <f t="shared" si="66"/>
        <v>26.155229437249226</v>
      </c>
    </row>
    <row r="142" spans="1:16383" s="59" customFormat="1" x14ac:dyDescent="0.25">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45.234089767978418</v>
      </c>
      <c r="N142" s="293">
        <f t="shared" si="67"/>
        <v>44.416155220874934</v>
      </c>
      <c r="O142" s="293">
        <f t="shared" si="67"/>
        <v>43.694173404221495</v>
      </c>
      <c r="P142" s="293">
        <f t="shared" si="67"/>
        <v>43.004609437225461</v>
      </c>
      <c r="Q142" s="293">
        <f t="shared" si="67"/>
        <v>42.325927892930942</v>
      </c>
      <c r="R142" s="293">
        <f t="shared" si="67"/>
        <v>0</v>
      </c>
    </row>
    <row r="143" spans="1:16383" s="173" customFormat="1" x14ac:dyDescent="0.25">
      <c r="A143" s="333"/>
      <c r="B143" s="334"/>
      <c r="C143" s="335"/>
      <c r="D143" s="336"/>
      <c r="E143" s="173" t="s">
        <v>164</v>
      </c>
      <c r="G143" s="202" t="s">
        <v>88</v>
      </c>
      <c r="J143" s="294">
        <f t="shared" ref="J143:R143" si="68" xml:space="preserve"> IF( J138 = 1, $F137, J140 + J141 - J142)</f>
        <v>0</v>
      </c>
      <c r="K143" s="294">
        <f t="shared" si="68"/>
        <v>0</v>
      </c>
      <c r="L143" s="294">
        <f t="shared" si="68"/>
        <v>953.83984644932923</v>
      </c>
      <c r="M143" s="294">
        <f t="shared" si="68"/>
        <v>931.7440909658967</v>
      </c>
      <c r="N143" s="294">
        <f t="shared" si="68"/>
        <v>914.89605257340008</v>
      </c>
      <c r="O143" s="294">
        <f t="shared" si="68"/>
        <v>900.02447463511965</v>
      </c>
      <c r="P143" s="294">
        <f t="shared" si="68"/>
        <v>885.82064838621864</v>
      </c>
      <c r="Q143" s="294">
        <f t="shared" si="68"/>
        <v>871.84098124164655</v>
      </c>
      <c r="R143" s="294">
        <f t="shared" si="68"/>
        <v>897.99621067889575</v>
      </c>
    </row>
    <row r="145" spans="1:26" s="126" customFormat="1" x14ac:dyDescent="0.25">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953.83984644932923</v>
      </c>
      <c r="N145" s="226">
        <f t="shared" si="69"/>
        <v>931.7440909658967</v>
      </c>
      <c r="O145" s="226">
        <f t="shared" si="69"/>
        <v>914.89605257340008</v>
      </c>
      <c r="P145" s="226">
        <f t="shared" si="69"/>
        <v>900.02447463511965</v>
      </c>
      <c r="Q145" s="226">
        <f t="shared" si="69"/>
        <v>885.82064838621864</v>
      </c>
      <c r="R145" s="226">
        <f t="shared" si="69"/>
        <v>871.84098124164655</v>
      </c>
    </row>
    <row r="146" spans="1:26" s="125" customFormat="1" x14ac:dyDescent="0.25">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23.138334284545863</v>
      </c>
      <c r="N146" s="225">
        <f t="shared" si="70"/>
        <v>27.568116828378272</v>
      </c>
      <c r="O146" s="225">
        <f t="shared" si="70"/>
        <v>28.822595465941014</v>
      </c>
      <c r="P146" s="225">
        <f t="shared" si="70"/>
        <v>28.800783188324452</v>
      </c>
      <c r="Q146" s="225">
        <f t="shared" si="70"/>
        <v>28.346260748358826</v>
      </c>
      <c r="R146" s="225">
        <f t="shared" si="70"/>
        <v>26.155229437249226</v>
      </c>
      <c r="S146" s="126"/>
      <c r="T146" s="126"/>
      <c r="U146" s="126"/>
      <c r="V146" s="126"/>
      <c r="W146" s="126"/>
      <c r="X146" s="126"/>
      <c r="Y146" s="126"/>
      <c r="Z146" s="126"/>
    </row>
    <row r="147" spans="1:26" s="126" customFormat="1" x14ac:dyDescent="0.25">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953.83984644932923</v>
      </c>
      <c r="M147" s="226">
        <f t="shared" si="71"/>
        <v>931.7440909658967</v>
      </c>
      <c r="N147" s="226">
        <f t="shared" si="71"/>
        <v>914.89605257340008</v>
      </c>
      <c r="O147" s="226">
        <f t="shared" si="71"/>
        <v>900.02447463511965</v>
      </c>
      <c r="P147" s="226">
        <f t="shared" si="71"/>
        <v>885.82064838621864</v>
      </c>
      <c r="Q147" s="226">
        <f t="shared" si="71"/>
        <v>871.84098124164655</v>
      </c>
      <c r="R147" s="226">
        <f t="shared" si="71"/>
        <v>897.99621067889575</v>
      </c>
    </row>
    <row r="148" spans="1:26" s="60" customFormat="1" x14ac:dyDescent="0.25">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476.91992322466461</v>
      </c>
      <c r="M148" s="226">
        <f xml:space="preserve"> ( (M145+M146) + M147) / 2</f>
        <v>954.36113584988584</v>
      </c>
      <c r="N148" s="226">
        <f t="shared" ref="N148:R148" si="73" xml:space="preserve"> ( (N145+N146) + N147) / 2</f>
        <v>937.10413018383747</v>
      </c>
      <c r="O148" s="226">
        <f t="shared" si="73"/>
        <v>921.87156133723033</v>
      </c>
      <c r="P148" s="226">
        <f t="shared" si="73"/>
        <v>907.32295310483141</v>
      </c>
      <c r="Q148" s="226">
        <f t="shared" si="73"/>
        <v>893.00394518811208</v>
      </c>
      <c r="R148" s="226">
        <f t="shared" si="73"/>
        <v>897.99621067889575</v>
      </c>
    </row>
    <row r="150" spans="1:26" s="253" customFormat="1" x14ac:dyDescent="0.25">
      <c r="A150" s="249"/>
      <c r="B150" s="250"/>
      <c r="C150" s="251"/>
      <c r="D150" s="252"/>
      <c r="E150" s="253" t="str">
        <f xml:space="preserve"> InpR!E$103</f>
        <v>WACC on RCV - CPI(H) + RPI wedge bf and additions - WWN</v>
      </c>
      <c r="F150" s="253">
        <f xml:space="preserve"> InpR!F$103</f>
        <v>0</v>
      </c>
      <c r="G150" s="271" t="str">
        <f xml:space="preserve"> InpR!G$103</f>
        <v>%</v>
      </c>
      <c r="H150" s="253" t="str">
        <f xml:space="preserve"> InpR!I$103</f>
        <v>PR19 Financial model, 'Wastewater Network' sheet row 980</v>
      </c>
      <c r="I150" s="253" t="e">
        <f xml:space="preserve"> InpR!#REF!</f>
        <v>#REF!</v>
      </c>
      <c r="J150" s="253">
        <f xml:space="preserve"> InpR!J$103</f>
        <v>0</v>
      </c>
      <c r="K150" s="253">
        <f xml:space="preserve"> InpR!K$103</f>
        <v>0</v>
      </c>
      <c r="L150" s="253">
        <f xml:space="preserve"> InpR!L$103</f>
        <v>0</v>
      </c>
      <c r="M150" s="253">
        <f xml:space="preserve"> InpR!M$103</f>
        <v>2.2181345335277269E-2</v>
      </c>
      <c r="N150" s="253">
        <f xml:space="preserve"> InpR!N$103</f>
        <v>2.2181345335277269E-2</v>
      </c>
      <c r="O150" s="253">
        <f xml:space="preserve"> InpR!O$103</f>
        <v>2.2181345335277269E-2</v>
      </c>
      <c r="P150" s="253">
        <f xml:space="preserve"> InpR!P$103</f>
        <v>2.2181345335277269E-2</v>
      </c>
      <c r="Q150" s="253">
        <f xml:space="preserve"> InpR!Q$103</f>
        <v>2.2181345335277269E-2</v>
      </c>
      <c r="R150" s="253">
        <f xml:space="preserve"> InpR!R$103</f>
        <v>0</v>
      </c>
    </row>
    <row r="151" spans="1:26" s="126" customFormat="1" x14ac:dyDescent="0.25">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5">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476.91992322466461</v>
      </c>
      <c r="M152" s="298">
        <f t="shared" si="74"/>
        <v>954.36113584988584</v>
      </c>
      <c r="N152" s="298">
        <f t="shared" si="74"/>
        <v>937.10413018383747</v>
      </c>
      <c r="O152" s="298">
        <f t="shared" si="74"/>
        <v>921.87156133723033</v>
      </c>
      <c r="P152" s="298">
        <f t="shared" si="74"/>
        <v>907.32295310483141</v>
      </c>
      <c r="Q152" s="298">
        <f t="shared" si="74"/>
        <v>893.00394518811208</v>
      </c>
      <c r="R152" s="298">
        <f t="shared" si="74"/>
        <v>897.99621067889575</v>
      </c>
    </row>
    <row r="153" spans="1:26" x14ac:dyDescent="0.25">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21.169013928853783</v>
      </c>
      <c r="N153" s="298">
        <f t="shared" si="76"/>
        <v>20.786230326722325</v>
      </c>
      <c r="O153" s="298">
        <f t="shared" si="76"/>
        <v>20.448351456792349</v>
      </c>
      <c r="P153" s="298">
        <f t="shared" si="76"/>
        <v>20.12564375344185</v>
      </c>
      <c r="Q153" s="298">
        <f t="shared" si="76"/>
        <v>19.808028893982527</v>
      </c>
      <c r="R153" s="298">
        <f t="shared" si="76"/>
        <v>0</v>
      </c>
    </row>
    <row r="154" spans="1:26" x14ac:dyDescent="0.25">
      <c r="M154" s="228"/>
      <c r="N154" s="228"/>
      <c r="O154" s="228"/>
      <c r="P154" s="228"/>
      <c r="Q154" s="228"/>
    </row>
    <row r="155" spans="1:26" s="125" customFormat="1" x14ac:dyDescent="0.25">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45.234089767978418</v>
      </c>
      <c r="N155" s="225">
        <f t="shared" si="77"/>
        <v>44.416155220874934</v>
      </c>
      <c r="O155" s="225">
        <f t="shared" si="77"/>
        <v>43.694173404221495</v>
      </c>
      <c r="P155" s="225">
        <f t="shared" si="77"/>
        <v>43.004609437225461</v>
      </c>
      <c r="Q155" s="225">
        <f t="shared" si="77"/>
        <v>42.325927892930942</v>
      </c>
      <c r="R155" s="225">
        <f t="shared" si="77"/>
        <v>0</v>
      </c>
      <c r="S155" s="126"/>
      <c r="T155" s="126"/>
      <c r="U155" s="126"/>
      <c r="V155" s="126"/>
      <c r="W155" s="126"/>
      <c r="X155" s="126"/>
      <c r="Y155" s="126"/>
      <c r="Z155" s="126"/>
    </row>
    <row r="156" spans="1:26" x14ac:dyDescent="0.25">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21.169013928853783</v>
      </c>
      <c r="N156" s="225">
        <f t="shared" si="78"/>
        <v>20.786230326722325</v>
      </c>
      <c r="O156" s="225">
        <f t="shared" si="78"/>
        <v>20.448351456792349</v>
      </c>
      <c r="P156" s="225">
        <f t="shared" si="78"/>
        <v>20.12564375344185</v>
      </c>
      <c r="Q156" s="225">
        <f t="shared" si="78"/>
        <v>19.808028893982527</v>
      </c>
      <c r="R156" s="225">
        <f t="shared" si="78"/>
        <v>0</v>
      </c>
    </row>
    <row r="157" spans="1:26" x14ac:dyDescent="0.25">
      <c r="A157" s="89"/>
      <c r="B157" s="95"/>
      <c r="C157" s="332"/>
      <c r="D157" s="91"/>
      <c r="E157" s="56" t="s">
        <v>321</v>
      </c>
      <c r="F157" s="295"/>
      <c r="G157" s="225" t="str">
        <f t="shared" ref="G157" si="79">G$155</f>
        <v>£m</v>
      </c>
      <c r="H157" s="295">
        <f>SUM(J157:R157)</f>
        <v>321.01222408302408</v>
      </c>
      <c r="I157" s="295"/>
      <c r="J157" s="295">
        <f t="shared" ref="J157:R157" si="80">SUM(J155:J156)</f>
        <v>0</v>
      </c>
      <c r="K157" s="295">
        <f t="shared" si="80"/>
        <v>0</v>
      </c>
      <c r="L157" s="295">
        <f>SUM(L155:L156)</f>
        <v>0</v>
      </c>
      <c r="M157" s="295">
        <f t="shared" si="80"/>
        <v>66.403103696832204</v>
      </c>
      <c r="N157" s="295">
        <f t="shared" si="80"/>
        <v>65.20238554759726</v>
      </c>
      <c r="O157" s="295">
        <f t="shared" si="80"/>
        <v>64.14252486101384</v>
      </c>
      <c r="P157" s="295">
        <f t="shared" si="80"/>
        <v>63.130253190667311</v>
      </c>
      <c r="Q157" s="295">
        <f t="shared" si="80"/>
        <v>62.133956786913473</v>
      </c>
      <c r="R157" s="295">
        <f t="shared" si="80"/>
        <v>0</v>
      </c>
    </row>
    <row r="159" spans="1:26" x14ac:dyDescent="0.25">
      <c r="E159" s="60" t="str">
        <f t="shared" ref="E159:R159" si="81" xml:space="preserve"> E$157</f>
        <v>Total True up Nominal revenue to company</v>
      </c>
      <c r="F159" s="225">
        <f t="shared" si="81"/>
        <v>0</v>
      </c>
      <c r="G159" s="225" t="str">
        <f t="shared" si="81"/>
        <v>£m</v>
      </c>
      <c r="H159" s="225">
        <f t="shared" si="81"/>
        <v>321.01222408302408</v>
      </c>
      <c r="I159" s="225">
        <f t="shared" si="81"/>
        <v>0</v>
      </c>
      <c r="J159" s="225">
        <f t="shared" si="81"/>
        <v>0</v>
      </c>
      <c r="K159" s="225">
        <f t="shared" si="81"/>
        <v>0</v>
      </c>
      <c r="L159" s="225">
        <f t="shared" si="81"/>
        <v>0</v>
      </c>
      <c r="M159" s="225">
        <f t="shared" si="81"/>
        <v>66.403103696832204</v>
      </c>
      <c r="N159" s="225">
        <f t="shared" si="81"/>
        <v>65.20238554759726</v>
      </c>
      <c r="O159" s="225">
        <f t="shared" si="81"/>
        <v>64.14252486101384</v>
      </c>
      <c r="P159" s="225">
        <f t="shared" si="81"/>
        <v>63.130253190667311</v>
      </c>
      <c r="Q159" s="225">
        <f t="shared" si="81"/>
        <v>62.133956786913473</v>
      </c>
      <c r="R159" s="225">
        <f t="shared" si="81"/>
        <v>0</v>
      </c>
    </row>
    <row r="160" spans="1:26" x14ac:dyDescent="0.25">
      <c r="E160" s="60" t="str">
        <f t="shared" ref="E160:R160" si="82" xml:space="preserve"> E$108</f>
        <v>Total nominal revenue company should have received</v>
      </c>
      <c r="F160" s="225">
        <f t="shared" si="82"/>
        <v>0</v>
      </c>
      <c r="G160" s="225" t="str">
        <f t="shared" si="82"/>
        <v>£m</v>
      </c>
      <c r="H160" s="225">
        <f t="shared" si="82"/>
        <v>328.0704309381922</v>
      </c>
      <c r="I160" s="225">
        <f t="shared" si="82"/>
        <v>0</v>
      </c>
      <c r="J160" s="225">
        <f t="shared" si="82"/>
        <v>0</v>
      </c>
      <c r="K160" s="225">
        <f t="shared" si="82"/>
        <v>0</v>
      </c>
      <c r="L160" s="225">
        <f t="shared" si="82"/>
        <v>0</v>
      </c>
      <c r="M160" s="225">
        <f t="shared" si="82"/>
        <v>66.160073029778644</v>
      </c>
      <c r="N160" s="225">
        <f t="shared" si="82"/>
        <v>65.688050052180984</v>
      </c>
      <c r="O160" s="225">
        <f t="shared" si="82"/>
        <v>66.515087136414436</v>
      </c>
      <c r="P160" s="225">
        <f t="shared" si="82"/>
        <v>65.401784605551555</v>
      </c>
      <c r="Q160" s="225">
        <f t="shared" si="82"/>
        <v>64.305436114266655</v>
      </c>
      <c r="R160" s="225">
        <f t="shared" si="82"/>
        <v>0</v>
      </c>
    </row>
    <row r="161" spans="1:16383" s="226" customFormat="1" x14ac:dyDescent="0.25">
      <c r="A161" s="306"/>
      <c r="B161" s="222"/>
      <c r="C161" s="223"/>
      <c r="D161" s="307"/>
      <c r="E161" s="60" t="s">
        <v>268</v>
      </c>
      <c r="G161" s="226" t="str">
        <f t="shared" ref="G161" si="83" xml:space="preserve"> G$153</f>
        <v>£m</v>
      </c>
      <c r="H161" s="226">
        <f xml:space="preserve"> SUM(J161:R161)</f>
        <v>7.0582068551681871</v>
      </c>
      <c r="J161" s="226">
        <f t="shared" ref="J161:K161" si="84">J160-J159</f>
        <v>0</v>
      </c>
      <c r="K161" s="226">
        <f t="shared" si="84"/>
        <v>0</v>
      </c>
      <c r="L161" s="226">
        <f>L160-L159</f>
        <v>0</v>
      </c>
      <c r="M161" s="226">
        <f>M160-M159</f>
        <v>-0.24303066705356002</v>
      </c>
      <c r="N161" s="226">
        <f t="shared" ref="N161:R161" si="85">N160-N159</f>
        <v>0.48566450458372401</v>
      </c>
      <c r="O161" s="226">
        <f t="shared" si="85"/>
        <v>2.3725622754005968</v>
      </c>
      <c r="P161" s="226">
        <f t="shared" si="85"/>
        <v>2.2715314148842438</v>
      </c>
      <c r="Q161" s="226">
        <f t="shared" si="85"/>
        <v>2.1714793273531825</v>
      </c>
      <c r="R161" s="226">
        <f t="shared" si="85"/>
        <v>0</v>
      </c>
    </row>
    <row r="163" spans="1:16383" s="125" customFormat="1" x14ac:dyDescent="0.25">
      <c r="A163" s="210"/>
      <c r="B163" s="204"/>
      <c r="C163" s="205"/>
      <c r="D163" s="211"/>
      <c r="E163" s="60" t="str">
        <f t="shared" ref="E163:R163" si="86" xml:space="preserve"> E$161</f>
        <v>Value of True up nominal</v>
      </c>
      <c r="F163" s="300">
        <f t="shared" si="86"/>
        <v>0</v>
      </c>
      <c r="G163" s="300" t="str">
        <f t="shared" si="86"/>
        <v>£m</v>
      </c>
      <c r="H163" s="300">
        <f t="shared" si="86"/>
        <v>7.0582068551681871</v>
      </c>
      <c r="I163" s="300">
        <f t="shared" si="86"/>
        <v>0</v>
      </c>
      <c r="J163" s="300">
        <f t="shared" si="86"/>
        <v>0</v>
      </c>
      <c r="K163" s="300">
        <f t="shared" si="86"/>
        <v>0</v>
      </c>
      <c r="L163" s="300">
        <f t="shared" si="86"/>
        <v>0</v>
      </c>
      <c r="M163" s="300">
        <f t="shared" si="86"/>
        <v>-0.24303066705356002</v>
      </c>
      <c r="N163" s="300">
        <f t="shared" si="86"/>
        <v>0.48566450458372401</v>
      </c>
      <c r="O163" s="300">
        <f t="shared" si="86"/>
        <v>2.3725622754005968</v>
      </c>
      <c r="P163" s="300">
        <f t="shared" si="86"/>
        <v>2.2715314148842438</v>
      </c>
      <c r="Q163" s="300">
        <f t="shared" si="86"/>
        <v>2.1714793273531825</v>
      </c>
      <c r="R163" s="300">
        <f t="shared" si="86"/>
        <v>0</v>
      </c>
      <c r="S163" s="126"/>
      <c r="T163" s="126"/>
      <c r="U163" s="126"/>
      <c r="V163" s="126"/>
      <c r="W163" s="126"/>
      <c r="X163" s="126"/>
      <c r="Y163" s="126"/>
      <c r="Z163" s="126"/>
    </row>
    <row r="164" spans="1:16383" s="125" customFormat="1" x14ac:dyDescent="0.25">
      <c r="A164" s="210"/>
      <c r="B164" s="204"/>
      <c r="C164" s="205"/>
      <c r="D164" s="211"/>
      <c r="E164" s="60" t="str">
        <f t="shared" ref="E164:R164" si="87" xml:space="preserve"> E$116</f>
        <v>Difference in nominal revenue</v>
      </c>
      <c r="F164" s="300">
        <f t="shared" si="87"/>
        <v>0</v>
      </c>
      <c r="G164" s="300" t="str">
        <f t="shared" si="87"/>
        <v>£m</v>
      </c>
      <c r="H164" s="300">
        <f t="shared" si="87"/>
        <v>7.0582068551681871</v>
      </c>
      <c r="I164" s="300">
        <f t="shared" si="87"/>
        <v>0</v>
      </c>
      <c r="J164" s="300">
        <f t="shared" si="87"/>
        <v>0</v>
      </c>
      <c r="K164" s="300">
        <f t="shared" si="87"/>
        <v>0</v>
      </c>
      <c r="L164" s="300">
        <f t="shared" si="87"/>
        <v>0</v>
      </c>
      <c r="M164" s="300">
        <f t="shared" si="87"/>
        <v>-0.24303066705356002</v>
      </c>
      <c r="N164" s="300">
        <f t="shared" si="87"/>
        <v>0.48566450458372401</v>
      </c>
      <c r="O164" s="300">
        <f t="shared" si="87"/>
        <v>2.3725622754005968</v>
      </c>
      <c r="P164" s="300">
        <f t="shared" si="87"/>
        <v>2.2715314148842438</v>
      </c>
      <c r="Q164" s="300">
        <f t="shared" si="87"/>
        <v>2.1714793273531825</v>
      </c>
      <c r="R164" s="300">
        <f t="shared" si="87"/>
        <v>0</v>
      </c>
      <c r="S164" s="126"/>
      <c r="T164" s="126"/>
      <c r="U164" s="126"/>
      <c r="V164" s="126"/>
      <c r="W164" s="126"/>
      <c r="X164" s="126"/>
      <c r="Y164" s="126"/>
      <c r="Z164" s="126"/>
    </row>
    <row r="165" spans="1:16383" s="259" customFormat="1" x14ac:dyDescent="0.25">
      <c r="A165" s="272"/>
      <c r="B165" s="256"/>
      <c r="C165" s="257"/>
      <c r="D165" s="258"/>
      <c r="E165" s="60" t="s">
        <v>165</v>
      </c>
      <c r="F165" s="273">
        <f>SUM(J165:R165)</f>
        <v>0</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5">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25">
      <c r="A167" s="69" t="s">
        <v>278</v>
      </c>
      <c r="B167" s="69"/>
    </row>
    <row r="169" spans="1:16383" x14ac:dyDescent="0.25">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476.91992322466461</v>
      </c>
      <c r="M169" s="226">
        <f t="shared" si="90"/>
        <v>954.36113584988584</v>
      </c>
      <c r="N169" s="225">
        <f t="shared" si="90"/>
        <v>937.10413018383747</v>
      </c>
      <c r="O169" s="225">
        <f t="shared" si="90"/>
        <v>921.87156133723033</v>
      </c>
      <c r="P169" s="225">
        <f t="shared" si="90"/>
        <v>907.32295310483141</v>
      </c>
      <c r="Q169" s="225">
        <f t="shared" si="90"/>
        <v>893.00394518811208</v>
      </c>
      <c r="R169" s="225">
        <f t="shared" si="90"/>
        <v>897.99621067889575</v>
      </c>
    </row>
    <row r="170" spans="1:16383" x14ac:dyDescent="0.25">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476.91992322466461</v>
      </c>
      <c r="M170" s="226">
        <f t="shared" si="91"/>
        <v>950.86824153406405</v>
      </c>
      <c r="N170" s="225">
        <f t="shared" si="91"/>
        <v>944.08421548757008</v>
      </c>
      <c r="O170" s="225">
        <f t="shared" si="91"/>
        <v>955.97058837011764</v>
      </c>
      <c r="P170" s="225">
        <f t="shared" si="91"/>
        <v>939.96994067826063</v>
      </c>
      <c r="Q170" s="225">
        <f t="shared" si="91"/>
        <v>924.2129604592792</v>
      </c>
      <c r="R170" s="225">
        <f t="shared" si="91"/>
        <v>929.37969739644166</v>
      </c>
    </row>
    <row r="171" spans="1:16383" s="236" customFormat="1" x14ac:dyDescent="0.25">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5">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457.87114647823</v>
      </c>
      <c r="M172" s="225">
        <f t="shared" si="92"/>
        <v>898.42374772306289</v>
      </c>
      <c r="N172" s="225">
        <f t="shared" si="92"/>
        <v>864.84500739267924</v>
      </c>
      <c r="O172" s="225">
        <f t="shared" si="92"/>
        <v>833.49102410984995</v>
      </c>
      <c r="P172" s="225">
        <f t="shared" si="92"/>
        <v>803.4644487402137</v>
      </c>
      <c r="Q172" s="225">
        <f t="shared" si="92"/>
        <v>774.51958295394115</v>
      </c>
      <c r="R172" s="225">
        <f t="shared" si="92"/>
        <v>763.57791305092246</v>
      </c>
      <c r="S172" s="126"/>
      <c r="T172" s="126"/>
      <c r="U172" s="126"/>
      <c r="V172" s="126"/>
      <c r="W172" s="126"/>
      <c r="X172" s="126"/>
      <c r="Y172" s="126"/>
      <c r="Z172" s="126"/>
    </row>
    <row r="173" spans="1:16383" s="125" customFormat="1" x14ac:dyDescent="0.25">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457.87114647823</v>
      </c>
      <c r="M173" s="225">
        <f t="shared" si="92"/>
        <v>895.13558029488422</v>
      </c>
      <c r="N173" s="225">
        <f t="shared" si="92"/>
        <v>871.28686559356447</v>
      </c>
      <c r="O173" s="225">
        <f t="shared" si="92"/>
        <v>864.32095113521984</v>
      </c>
      <c r="P173" s="225">
        <f t="shared" si="92"/>
        <v>832.37443474238989</v>
      </c>
      <c r="Q173" s="225">
        <f t="shared" si="92"/>
        <v>801.58776515232523</v>
      </c>
      <c r="R173" s="225">
        <f t="shared" si="92"/>
        <v>790.26370192961735</v>
      </c>
      <c r="S173" s="126"/>
      <c r="T173" s="126"/>
      <c r="U173" s="126"/>
      <c r="V173" s="126"/>
      <c r="W173" s="126"/>
      <c r="X173" s="126"/>
      <c r="Y173" s="126"/>
      <c r="Z173" s="126"/>
    </row>
    <row r="174" spans="1:16383" s="125" customFormat="1" x14ac:dyDescent="0.25">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-3.2881674281786673</v>
      </c>
      <c r="N174" s="226">
        <f t="shared" si="93"/>
        <v>6.4418582008852354</v>
      </c>
      <c r="O174" s="226">
        <f t="shared" si="93"/>
        <v>30.829927025369898</v>
      </c>
      <c r="P174" s="226">
        <f t="shared" si="93"/>
        <v>28.909986002176197</v>
      </c>
      <c r="Q174" s="226">
        <f t="shared" si="93"/>
        <v>27.068182198384079</v>
      </c>
      <c r="R174" s="226">
        <f t="shared" si="93"/>
        <v>26.685788878694893</v>
      </c>
      <c r="S174" s="126"/>
      <c r="T174" s="126"/>
      <c r="U174" s="126"/>
      <c r="V174" s="126"/>
      <c r="W174" s="126"/>
      <c r="X174" s="126"/>
      <c r="Y174" s="126"/>
      <c r="Z174" s="126"/>
    </row>
    <row r="175" spans="1:16383" s="125" customFormat="1" x14ac:dyDescent="0.25">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5">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-3.2881674281786673</v>
      </c>
      <c r="N176" s="226">
        <f t="shared" si="94"/>
        <v>6.4418582008852354</v>
      </c>
      <c r="O176" s="226">
        <f t="shared" si="94"/>
        <v>30.829927025369898</v>
      </c>
      <c r="P176" s="226">
        <f t="shared" si="94"/>
        <v>28.909986002176197</v>
      </c>
      <c r="Q176" s="226">
        <f t="shared" si="94"/>
        <v>27.068182198384079</v>
      </c>
      <c r="R176" s="226">
        <f t="shared" si="94"/>
        <v>26.685788878694893</v>
      </c>
      <c r="S176" s="126"/>
      <c r="T176" s="126"/>
      <c r="U176" s="126"/>
      <c r="V176" s="126"/>
      <c r="W176" s="126"/>
      <c r="X176" s="126"/>
      <c r="Y176" s="126"/>
      <c r="Z176" s="126"/>
    </row>
    <row r="177" spans="1:26" s="126" customFormat="1" x14ac:dyDescent="0.25">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5">
      <c r="A178" s="326"/>
      <c r="B178" s="327"/>
      <c r="C178" s="328"/>
      <c r="D178" s="329"/>
      <c r="E178" s="44" t="s">
        <v>361</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27.068182198384079</v>
      </c>
      <c r="R178" s="325">
        <f t="shared" si="95"/>
        <v>0</v>
      </c>
      <c r="S178" s="129"/>
      <c r="T178" s="129"/>
      <c r="U178" s="129"/>
      <c r="V178" s="129"/>
      <c r="W178" s="129"/>
      <c r="X178" s="129"/>
      <c r="Y178" s="129"/>
      <c r="Z178" s="129"/>
    </row>
    <row r="179" spans="1:26" x14ac:dyDescent="0.25">
      <c r="H179" s="225"/>
      <c r="J179" s="225"/>
      <c r="K179" s="225"/>
      <c r="L179" s="225"/>
      <c r="M179" s="226"/>
      <c r="N179" s="225"/>
      <c r="O179" s="225"/>
      <c r="P179" s="225"/>
      <c r="Q179" s="225"/>
      <c r="R179" s="225"/>
    </row>
    <row r="180" spans="1:26" x14ac:dyDescent="0.25">
      <c r="A180" s="69" t="s">
        <v>279</v>
      </c>
      <c r="B180" s="69"/>
    </row>
    <row r="182" spans="1:26" s="125" customFormat="1" x14ac:dyDescent="0.25">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45.234089767978418</v>
      </c>
      <c r="N182" s="225">
        <f t="shared" si="96"/>
        <v>44.416155220874934</v>
      </c>
      <c r="O182" s="225">
        <f t="shared" si="96"/>
        <v>43.694173404221495</v>
      </c>
      <c r="P182" s="225">
        <f t="shared" si="96"/>
        <v>43.004609437225461</v>
      </c>
      <c r="Q182" s="225">
        <f t="shared" si="96"/>
        <v>42.325927892930942</v>
      </c>
      <c r="R182" s="225">
        <f t="shared" si="96"/>
        <v>0</v>
      </c>
      <c r="S182" s="126"/>
      <c r="T182" s="126"/>
      <c r="U182" s="126"/>
      <c r="V182" s="126"/>
      <c r="W182" s="126"/>
      <c r="X182" s="126"/>
      <c r="Y182" s="126"/>
      <c r="Z182" s="126"/>
    </row>
    <row r="183" spans="1:26" s="125" customFormat="1" x14ac:dyDescent="0.25">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21.169013928853783</v>
      </c>
      <c r="N183" s="225">
        <f t="shared" si="97"/>
        <v>20.786230326722325</v>
      </c>
      <c r="O183" s="225">
        <f t="shared" si="97"/>
        <v>20.448351456792349</v>
      </c>
      <c r="P183" s="225">
        <f t="shared" si="97"/>
        <v>20.12564375344185</v>
      </c>
      <c r="Q183" s="225">
        <f t="shared" si="97"/>
        <v>19.808028893982527</v>
      </c>
      <c r="R183" s="225">
        <f t="shared" si="97"/>
        <v>0</v>
      </c>
      <c r="S183" s="126"/>
      <c r="T183" s="126"/>
      <c r="U183" s="126"/>
      <c r="V183" s="126"/>
      <c r="W183" s="126"/>
      <c r="X183" s="126"/>
      <c r="Y183" s="126"/>
      <c r="Z183" s="126"/>
    </row>
    <row r="184" spans="1:26" s="125" customFormat="1" x14ac:dyDescent="0.25">
      <c r="A184" s="210"/>
      <c r="B184" s="204"/>
      <c r="C184" s="205"/>
      <c r="D184" s="211"/>
      <c r="E184" s="60" t="str">
        <f>E$157</f>
        <v>Total True up Nominal revenue to company</v>
      </c>
      <c r="F184" s="225">
        <f t="shared" ref="F184:R184" si="98">F$157</f>
        <v>0</v>
      </c>
      <c r="G184" s="225" t="str">
        <f t="shared" si="98"/>
        <v>£m</v>
      </c>
      <c r="H184" s="225">
        <f t="shared" si="98"/>
        <v>321.01222408302408</v>
      </c>
      <c r="I184" s="225">
        <f t="shared" si="98"/>
        <v>0</v>
      </c>
      <c r="J184" s="225">
        <f t="shared" si="98"/>
        <v>0</v>
      </c>
      <c r="K184" s="225">
        <f t="shared" si="98"/>
        <v>0</v>
      </c>
      <c r="L184" s="225">
        <f t="shared" si="98"/>
        <v>0</v>
      </c>
      <c r="M184" s="225">
        <f t="shared" si="98"/>
        <v>66.403103696832204</v>
      </c>
      <c r="N184" s="225">
        <f t="shared" si="98"/>
        <v>65.20238554759726</v>
      </c>
      <c r="O184" s="225">
        <f t="shared" si="98"/>
        <v>64.14252486101384</v>
      </c>
      <c r="P184" s="225">
        <f t="shared" si="98"/>
        <v>63.130253190667311</v>
      </c>
      <c r="Q184" s="225">
        <f t="shared" si="98"/>
        <v>62.133956786913473</v>
      </c>
      <c r="R184" s="225">
        <f t="shared" si="98"/>
        <v>0</v>
      </c>
      <c r="S184" s="126"/>
      <c r="T184" s="126"/>
      <c r="U184" s="126"/>
      <c r="V184" s="126"/>
      <c r="W184" s="126"/>
      <c r="X184" s="126"/>
      <c r="Y184" s="126"/>
      <c r="Z184" s="126"/>
    </row>
    <row r="185" spans="1:26" s="125" customFormat="1" x14ac:dyDescent="0.25">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45.068536195963731</v>
      </c>
      <c r="N185" s="225">
        <f t="shared" si="99"/>
        <v>44.746992042866864</v>
      </c>
      <c r="O185" s="225">
        <f t="shared" si="99"/>
        <v>45.31037338540866</v>
      </c>
      <c r="P185" s="225">
        <f t="shared" si="99"/>
        <v>44.551986746586962</v>
      </c>
      <c r="Q185" s="225">
        <f t="shared" si="99"/>
        <v>43.805149274980423</v>
      </c>
      <c r="R185" s="225">
        <f t="shared" si="99"/>
        <v>0</v>
      </c>
      <c r="S185" s="126"/>
      <c r="T185" s="126"/>
      <c r="U185" s="126"/>
      <c r="V185" s="126"/>
      <c r="W185" s="126"/>
      <c r="X185" s="126"/>
      <c r="Y185" s="126"/>
      <c r="Z185" s="126"/>
    </row>
    <row r="186" spans="1:26" s="125" customFormat="1" x14ac:dyDescent="0.25">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21.09153683381491</v>
      </c>
      <c r="N186" s="225">
        <f t="shared" si="100"/>
        <v>20.941058009314112</v>
      </c>
      <c r="O186" s="225">
        <f t="shared" si="100"/>
        <v>21.204713751005777</v>
      </c>
      <c r="P186" s="225">
        <f t="shared" si="100"/>
        <v>20.849797858964589</v>
      </c>
      <c r="Q186" s="225">
        <f t="shared" si="100"/>
        <v>20.500286839286229</v>
      </c>
      <c r="R186" s="225">
        <f t="shared" si="100"/>
        <v>0</v>
      </c>
      <c r="S186" s="126"/>
      <c r="T186" s="126"/>
      <c r="U186" s="126"/>
      <c r="V186" s="126"/>
      <c r="W186" s="126"/>
      <c r="X186" s="126"/>
      <c r="Y186" s="126"/>
      <c r="Z186" s="126"/>
    </row>
    <row r="187" spans="1:26" s="125" customFormat="1" x14ac:dyDescent="0.25">
      <c r="A187" s="210"/>
      <c r="B187" s="204"/>
      <c r="C187" s="205"/>
      <c r="D187" s="211"/>
      <c r="E187" s="60" t="str">
        <f>E$108</f>
        <v>Total nominal revenue company should have received</v>
      </c>
      <c r="F187" s="225">
        <f t="shared" ref="F187:R187" si="101">F$108</f>
        <v>0</v>
      </c>
      <c r="G187" s="225" t="str">
        <f t="shared" si="101"/>
        <v>£m</v>
      </c>
      <c r="H187" s="225">
        <f t="shared" si="101"/>
        <v>328.0704309381922</v>
      </c>
      <c r="I187" s="225">
        <f t="shared" si="101"/>
        <v>0</v>
      </c>
      <c r="J187" s="225">
        <f t="shared" si="101"/>
        <v>0</v>
      </c>
      <c r="K187" s="225">
        <f t="shared" si="101"/>
        <v>0</v>
      </c>
      <c r="L187" s="225">
        <f t="shared" si="101"/>
        <v>0</v>
      </c>
      <c r="M187" s="225">
        <f t="shared" si="101"/>
        <v>66.160073029778644</v>
      </c>
      <c r="N187" s="225">
        <f t="shared" si="101"/>
        <v>65.688050052180984</v>
      </c>
      <c r="O187" s="225">
        <f t="shared" si="101"/>
        <v>66.515087136414436</v>
      </c>
      <c r="P187" s="225">
        <f t="shared" si="101"/>
        <v>65.401784605551555</v>
      </c>
      <c r="Q187" s="225">
        <f t="shared" si="101"/>
        <v>64.305436114266655</v>
      </c>
      <c r="R187" s="225">
        <f t="shared" si="101"/>
        <v>0</v>
      </c>
      <c r="S187" s="126"/>
      <c r="T187" s="126"/>
      <c r="U187" s="126"/>
      <c r="V187" s="126"/>
      <c r="W187" s="126"/>
      <c r="X187" s="126"/>
      <c r="Y187" s="126"/>
      <c r="Z187" s="126"/>
    </row>
    <row r="188" spans="1:26" s="253" customFormat="1" x14ac:dyDescent="0.25">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5">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197.87136043976483</v>
      </c>
      <c r="I189" s="225"/>
      <c r="J189" s="225">
        <f t="shared" ref="J189:R194" si="105" xml:space="preserve"> IF(J$188 = 0, 0, J182 / J$188)</f>
        <v>0</v>
      </c>
      <c r="K189" s="225">
        <f t="shared" si="105"/>
        <v>0</v>
      </c>
      <c r="L189" s="225">
        <f t="shared" si="105"/>
        <v>0</v>
      </c>
      <c r="M189" s="226">
        <f t="shared" si="105"/>
        <v>42.582811608310195</v>
      </c>
      <c r="N189" s="225">
        <f t="shared" si="105"/>
        <v>40.991271784082564</v>
      </c>
      <c r="O189" s="225">
        <f t="shared" si="105"/>
        <v>39.505179317485847</v>
      </c>
      <c r="P189" s="225">
        <f t="shared" si="105"/>
        <v>38.082002330625883</v>
      </c>
      <c r="Q189" s="225">
        <f t="shared" si="105"/>
        <v>36.710095399260354</v>
      </c>
      <c r="R189" s="225">
        <f t="shared" si="105"/>
        <v>0</v>
      </c>
      <c r="S189" s="126"/>
      <c r="T189" s="126"/>
      <c r="U189" s="126"/>
      <c r="V189" s="126"/>
      <c r="W189" s="126"/>
      <c r="X189" s="126"/>
      <c r="Y189" s="126"/>
      <c r="Z189" s="126"/>
    </row>
    <row r="190" spans="1:26" s="125" customFormat="1" x14ac:dyDescent="0.25">
      <c r="A190" s="210"/>
      <c r="B190" s="204"/>
      <c r="C190" s="205"/>
      <c r="D190" s="211"/>
      <c r="E190" s="60" t="str">
        <f t="shared" si="102"/>
        <v>True up Nominal return- real</v>
      </c>
      <c r="F190" s="225"/>
      <c r="G190" s="225" t="str">
        <f t="shared" si="103"/>
        <v>£m</v>
      </c>
      <c r="H190" s="295">
        <f t="shared" si="104"/>
        <v>92.60143415632237</v>
      </c>
      <c r="I190" s="225"/>
      <c r="J190" s="225">
        <f t="shared" si="105"/>
        <v>0</v>
      </c>
      <c r="K190" s="225">
        <f t="shared" si="105"/>
        <v>0</v>
      </c>
      <c r="L190" s="225">
        <f t="shared" si="105"/>
        <v>0</v>
      </c>
      <c r="M190" s="226">
        <f t="shared" si="105"/>
        <v>19.928247405659285</v>
      </c>
      <c r="N190" s="225">
        <f xml:space="preserve"> IF(N$188 = 0, 0, N183 / N$188)</f>
        <v>19.183425770467441</v>
      </c>
      <c r="O190" s="225">
        <f t="shared" si="105"/>
        <v>18.487952239634495</v>
      </c>
      <c r="P190" s="225">
        <f t="shared" si="105"/>
        <v>17.821922402124862</v>
      </c>
      <c r="Q190" s="225">
        <f t="shared" si="105"/>
        <v>17.179886338436297</v>
      </c>
      <c r="R190" s="225">
        <f t="shared" si="105"/>
        <v>0</v>
      </c>
      <c r="S190" s="126"/>
      <c r="T190" s="126"/>
      <c r="U190" s="126"/>
      <c r="V190" s="126"/>
      <c r="W190" s="126"/>
      <c r="X190" s="126"/>
      <c r="Y190" s="126"/>
      <c r="Z190" s="126"/>
    </row>
    <row r="191" spans="1:26" s="125" customFormat="1" x14ac:dyDescent="0.25">
      <c r="A191" s="210"/>
      <c r="B191" s="204"/>
      <c r="C191" s="205"/>
      <c r="D191" s="211"/>
      <c r="E191" s="60" t="str">
        <f t="shared" si="102"/>
        <v>Total True up Nominal revenue to company- real</v>
      </c>
      <c r="F191" s="225"/>
      <c r="G191" s="225" t="str">
        <f t="shared" si="103"/>
        <v>£m</v>
      </c>
      <c r="H191" s="295">
        <f t="shared" si="104"/>
        <v>290.47279459608723</v>
      </c>
      <c r="I191" s="225"/>
      <c r="J191" s="225">
        <f t="shared" si="105"/>
        <v>0</v>
      </c>
      <c r="K191" s="225">
        <f t="shared" si="105"/>
        <v>0</v>
      </c>
      <c r="L191" s="225">
        <f t="shared" si="105"/>
        <v>0</v>
      </c>
      <c r="M191" s="226">
        <f t="shared" si="105"/>
        <v>62.511059013969479</v>
      </c>
      <c r="N191" s="225">
        <f t="shared" si="105"/>
        <v>60.174697554550001</v>
      </c>
      <c r="O191" s="225">
        <f t="shared" si="105"/>
        <v>57.993131557120343</v>
      </c>
      <c r="P191" s="225">
        <f t="shared" si="105"/>
        <v>55.903924732750738</v>
      </c>
      <c r="Q191" s="225">
        <f t="shared" si="105"/>
        <v>53.889981737696658</v>
      </c>
      <c r="R191" s="225">
        <f t="shared" si="105"/>
        <v>0</v>
      </c>
      <c r="S191" s="126"/>
      <c r="T191" s="126"/>
      <c r="U191" s="126"/>
      <c r="V191" s="126"/>
      <c r="W191" s="126"/>
      <c r="X191" s="126"/>
      <c r="Y191" s="126"/>
      <c r="Z191" s="126"/>
    </row>
    <row r="192" spans="1:26" s="125" customFormat="1" x14ac:dyDescent="0.25">
      <c r="A192" s="210"/>
      <c r="B192" s="204"/>
      <c r="C192" s="205"/>
      <c r="D192" s="211"/>
      <c r="E192" s="60" t="str">
        <f t="shared" si="102"/>
        <v>RCV run-off company should have received- real</v>
      </c>
      <c r="F192" s="225"/>
      <c r="G192" s="225" t="str">
        <f t="shared" si="103"/>
        <v>£m</v>
      </c>
      <c r="H192" s="295">
        <f t="shared" si="104"/>
        <v>202.13530136389534</v>
      </c>
      <c r="I192" s="225"/>
      <c r="J192" s="225">
        <f t="shared" si="105"/>
        <v>0</v>
      </c>
      <c r="K192" s="225">
        <f t="shared" si="105"/>
        <v>0</v>
      </c>
      <c r="L192" s="225">
        <f t="shared" si="105"/>
        <v>0</v>
      </c>
      <c r="M192" s="226">
        <f t="shared" si="105"/>
        <v>42.426961527003265</v>
      </c>
      <c r="N192" s="225">
        <f t="shared" si="105"/>
        <v>41.296598123542033</v>
      </c>
      <c r="O192" s="225">
        <f t="shared" si="105"/>
        <v>40.966432960598539</v>
      </c>
      <c r="P192" s="225">
        <f t="shared" si="105"/>
        <v>39.452256056275438</v>
      </c>
      <c r="Q192" s="225">
        <f t="shared" si="105"/>
        <v>37.993052696476077</v>
      </c>
      <c r="R192" s="225">
        <f t="shared" si="105"/>
        <v>0</v>
      </c>
      <c r="S192" s="126"/>
      <c r="T192" s="126"/>
      <c r="U192" s="126"/>
      <c r="V192" s="126"/>
      <c r="W192" s="126"/>
      <c r="X192" s="126"/>
      <c r="Y192" s="126"/>
      <c r="Z192" s="126"/>
    </row>
    <row r="193" spans="1:26" s="125" customFormat="1" x14ac:dyDescent="0.25">
      <c r="A193" s="210"/>
      <c r="B193" s="204"/>
      <c r="C193" s="205"/>
      <c r="D193" s="211"/>
      <c r="E193" s="60" t="str">
        <f t="shared" si="102"/>
        <v>Nominal return company should have received- real</v>
      </c>
      <c r="F193" s="225"/>
      <c r="G193" s="225" t="str">
        <f t="shared" si="103"/>
        <v>£m</v>
      </c>
      <c r="H193" s="295">
        <f t="shared" si="104"/>
        <v>94.596907598536461</v>
      </c>
      <c r="I193" s="225"/>
      <c r="J193" s="225">
        <f t="shared" si="105"/>
        <v>0</v>
      </c>
      <c r="K193" s="225">
        <f t="shared" si="105"/>
        <v>0</v>
      </c>
      <c r="L193" s="225">
        <f t="shared" si="105"/>
        <v>0</v>
      </c>
      <c r="M193" s="226">
        <f t="shared" si="105"/>
        <v>19.855311428414641</v>
      </c>
      <c r="N193" s="225">
        <f t="shared" si="105"/>
        <v>19.326314851822161</v>
      </c>
      <c r="O193" s="225">
        <f t="shared" si="105"/>
        <v>19.171801497645625</v>
      </c>
      <c r="P193" s="225">
        <f t="shared" si="105"/>
        <v>18.463184785277164</v>
      </c>
      <c r="Q193" s="225">
        <f t="shared" si="105"/>
        <v>17.780295035376859</v>
      </c>
      <c r="R193" s="225">
        <f t="shared" si="105"/>
        <v>0</v>
      </c>
      <c r="S193" s="126"/>
      <c r="T193" s="126"/>
      <c r="U193" s="126"/>
      <c r="V193" s="126"/>
      <c r="W193" s="126"/>
      <c r="X193" s="126"/>
      <c r="Y193" s="126"/>
      <c r="Z193" s="126"/>
    </row>
    <row r="194" spans="1:26" s="125" customFormat="1" x14ac:dyDescent="0.25">
      <c r="A194" s="210"/>
      <c r="B194" s="204"/>
      <c r="C194" s="205"/>
      <c r="D194" s="211"/>
      <c r="E194" s="60" t="str">
        <f t="shared" si="102"/>
        <v>Total nominal revenue company should have received- real</v>
      </c>
      <c r="F194" s="225"/>
      <c r="G194" s="225" t="str">
        <f t="shared" si="103"/>
        <v>£m</v>
      </c>
      <c r="H194" s="295">
        <f t="shared" si="104"/>
        <v>296.7322089624318</v>
      </c>
      <c r="I194" s="225"/>
      <c r="J194" s="225">
        <f t="shared" si="105"/>
        <v>0</v>
      </c>
      <c r="K194" s="225">
        <f t="shared" si="105"/>
        <v>0</v>
      </c>
      <c r="L194" s="225">
        <f t="shared" si="105"/>
        <v>0</v>
      </c>
      <c r="M194" s="226">
        <f t="shared" si="105"/>
        <v>62.282272955417909</v>
      </c>
      <c r="N194" s="225">
        <f t="shared" si="105"/>
        <v>60.622912975364201</v>
      </c>
      <c r="O194" s="225">
        <f t="shared" si="105"/>
        <v>60.138234458244163</v>
      </c>
      <c r="P194" s="225">
        <f t="shared" si="105"/>
        <v>57.915440841552609</v>
      </c>
      <c r="Q194" s="225">
        <f t="shared" si="105"/>
        <v>55.773347731852937</v>
      </c>
      <c r="R194" s="225">
        <f t="shared" si="105"/>
        <v>0</v>
      </c>
      <c r="S194" s="126"/>
      <c r="T194" s="126"/>
      <c r="U194" s="126"/>
      <c r="V194" s="126"/>
      <c r="W194" s="126"/>
      <c r="X194" s="126"/>
      <c r="Y194" s="126"/>
      <c r="Z194" s="126"/>
    </row>
    <row r="196" spans="1:26" x14ac:dyDescent="0.25">
      <c r="E196" s="56" t="str">
        <f>E$189</f>
        <v>True up Nominal RCV run-off- real</v>
      </c>
      <c r="F196" s="225">
        <f t="shared" ref="F196:R196" si="106">F$189</f>
        <v>0</v>
      </c>
      <c r="G196" s="56" t="str">
        <f t="shared" si="106"/>
        <v>£m</v>
      </c>
      <c r="H196" s="299">
        <f t="shared" si="106"/>
        <v>197.87136043976483</v>
      </c>
      <c r="I196" s="299">
        <f t="shared" si="106"/>
        <v>0</v>
      </c>
      <c r="J196" s="225">
        <f t="shared" si="106"/>
        <v>0</v>
      </c>
      <c r="K196" s="225">
        <f t="shared" si="106"/>
        <v>0</v>
      </c>
      <c r="L196" s="225">
        <f t="shared" si="106"/>
        <v>0</v>
      </c>
      <c r="M196" s="226">
        <f t="shared" si="106"/>
        <v>42.582811608310195</v>
      </c>
      <c r="N196" s="225">
        <f t="shared" si="106"/>
        <v>40.991271784082564</v>
      </c>
      <c r="O196" s="225">
        <f t="shared" si="106"/>
        <v>39.505179317485847</v>
      </c>
      <c r="P196" s="225">
        <f t="shared" si="106"/>
        <v>38.082002330625883</v>
      </c>
      <c r="Q196" s="225">
        <f t="shared" si="106"/>
        <v>36.710095399260354</v>
      </c>
      <c r="R196" s="225">
        <f t="shared" si="106"/>
        <v>0</v>
      </c>
    </row>
    <row r="197" spans="1:26" x14ac:dyDescent="0.25">
      <c r="E197" s="56" t="str">
        <f>E$192</f>
        <v>RCV run-off company should have received- real</v>
      </c>
      <c r="F197" s="225">
        <f t="shared" ref="F197:R197" si="107">F$192</f>
        <v>0</v>
      </c>
      <c r="G197" s="56" t="str">
        <f t="shared" si="107"/>
        <v>£m</v>
      </c>
      <c r="H197" s="299">
        <f t="shared" si="107"/>
        <v>202.13530136389534</v>
      </c>
      <c r="I197" s="299">
        <f t="shared" si="107"/>
        <v>0</v>
      </c>
      <c r="J197" s="225">
        <f t="shared" si="107"/>
        <v>0</v>
      </c>
      <c r="K197" s="225">
        <f t="shared" si="107"/>
        <v>0</v>
      </c>
      <c r="L197" s="225">
        <f t="shared" si="107"/>
        <v>0</v>
      </c>
      <c r="M197" s="226">
        <f t="shared" si="107"/>
        <v>42.426961527003265</v>
      </c>
      <c r="N197" s="225">
        <f t="shared" si="107"/>
        <v>41.296598123542033</v>
      </c>
      <c r="O197" s="225">
        <f t="shared" si="107"/>
        <v>40.966432960598539</v>
      </c>
      <c r="P197" s="225">
        <f t="shared" si="107"/>
        <v>39.452256056275438</v>
      </c>
      <c r="Q197" s="225">
        <f t="shared" si="107"/>
        <v>37.993052696476077</v>
      </c>
      <c r="R197" s="225">
        <f t="shared" si="107"/>
        <v>0</v>
      </c>
    </row>
    <row r="198" spans="1:26" x14ac:dyDescent="0.25">
      <c r="A198" s="89"/>
      <c r="B198" s="95"/>
      <c r="C198" s="332"/>
      <c r="D198" s="91"/>
      <c r="E198" s="60" t="s">
        <v>269</v>
      </c>
      <c r="G198" s="56" t="s">
        <v>88</v>
      </c>
      <c r="H198" s="226">
        <f xml:space="preserve"> SUM(J198:R198)</f>
        <v>4.2639409241305088</v>
      </c>
      <c r="I198" s="226"/>
      <c r="J198" s="225">
        <f t="shared" ref="J198:K198" si="108">J197-J196</f>
        <v>0</v>
      </c>
      <c r="K198" s="225">
        <f t="shared" si="108"/>
        <v>0</v>
      </c>
      <c r="L198" s="225">
        <f>L197-L196</f>
        <v>0</v>
      </c>
      <c r="M198" s="226">
        <f>M197-M196</f>
        <v>-0.15585008130693012</v>
      </c>
      <c r="N198" s="225">
        <f t="shared" ref="N198:R198" si="109">N197-N196</f>
        <v>0.30532633945946941</v>
      </c>
      <c r="O198" s="225">
        <f t="shared" si="109"/>
        <v>1.4612536431126912</v>
      </c>
      <c r="P198" s="225">
        <f t="shared" si="109"/>
        <v>1.3702537256495546</v>
      </c>
      <c r="Q198" s="225">
        <f t="shared" si="109"/>
        <v>1.2829572972157237</v>
      </c>
      <c r="R198" s="225">
        <f t="shared" si="109"/>
        <v>0</v>
      </c>
    </row>
    <row r="200" spans="1:26" x14ac:dyDescent="0.25">
      <c r="E200" s="56" t="str">
        <f>E$190</f>
        <v>True up Nominal return- real</v>
      </c>
      <c r="F200" s="225">
        <f t="shared" ref="F200:R200" si="110">F$190</f>
        <v>0</v>
      </c>
      <c r="G200" s="56" t="str">
        <f t="shared" si="110"/>
        <v>£m</v>
      </c>
      <c r="H200" s="299">
        <f t="shared" si="110"/>
        <v>92.60143415632237</v>
      </c>
      <c r="I200" s="299">
        <f t="shared" si="110"/>
        <v>0</v>
      </c>
      <c r="J200" s="225">
        <f t="shared" si="110"/>
        <v>0</v>
      </c>
      <c r="K200" s="225">
        <f t="shared" si="110"/>
        <v>0</v>
      </c>
      <c r="L200" s="225">
        <f t="shared" si="110"/>
        <v>0</v>
      </c>
      <c r="M200" s="226">
        <f t="shared" si="110"/>
        <v>19.928247405659285</v>
      </c>
      <c r="N200" s="225">
        <f t="shared" si="110"/>
        <v>19.183425770467441</v>
      </c>
      <c r="O200" s="225">
        <f t="shared" si="110"/>
        <v>18.487952239634495</v>
      </c>
      <c r="P200" s="225">
        <f t="shared" si="110"/>
        <v>17.821922402124862</v>
      </c>
      <c r="Q200" s="225">
        <f t="shared" si="110"/>
        <v>17.179886338436297</v>
      </c>
      <c r="R200" s="225">
        <f t="shared" si="110"/>
        <v>0</v>
      </c>
    </row>
    <row r="201" spans="1:26" x14ac:dyDescent="0.25">
      <c r="E201" s="56" t="str">
        <f>E$193</f>
        <v>Nominal return company should have received- real</v>
      </c>
      <c r="F201" s="225">
        <f t="shared" ref="F201:R201" si="111">F$193</f>
        <v>0</v>
      </c>
      <c r="G201" s="56" t="str">
        <f t="shared" si="111"/>
        <v>£m</v>
      </c>
      <c r="H201" s="299">
        <f t="shared" si="111"/>
        <v>94.596907598536461</v>
      </c>
      <c r="I201" s="299">
        <f t="shared" si="111"/>
        <v>0</v>
      </c>
      <c r="J201" s="225">
        <f t="shared" si="111"/>
        <v>0</v>
      </c>
      <c r="K201" s="225">
        <f t="shared" si="111"/>
        <v>0</v>
      </c>
      <c r="L201" s="225">
        <f t="shared" si="111"/>
        <v>0</v>
      </c>
      <c r="M201" s="226">
        <f t="shared" si="111"/>
        <v>19.855311428414641</v>
      </c>
      <c r="N201" s="225">
        <f t="shared" si="111"/>
        <v>19.326314851822161</v>
      </c>
      <c r="O201" s="225">
        <f t="shared" si="111"/>
        <v>19.171801497645625</v>
      </c>
      <c r="P201" s="225">
        <f t="shared" si="111"/>
        <v>18.463184785277164</v>
      </c>
      <c r="Q201" s="225">
        <f t="shared" si="111"/>
        <v>17.780295035376859</v>
      </c>
      <c r="R201" s="225">
        <f t="shared" si="111"/>
        <v>0</v>
      </c>
    </row>
    <row r="202" spans="1:26" x14ac:dyDescent="0.25">
      <c r="A202" s="89"/>
      <c r="B202" s="95"/>
      <c r="C202" s="332"/>
      <c r="D202" s="91"/>
      <c r="E202" s="60" t="s">
        <v>276</v>
      </c>
      <c r="G202" s="56" t="s">
        <v>88</v>
      </c>
      <c r="H202" s="226">
        <f xml:space="preserve"> SUM(J202:R202)</f>
        <v>1.9954734422140703</v>
      </c>
      <c r="I202" s="226"/>
      <c r="J202" s="225">
        <f t="shared" ref="J202:K202" si="112">J201-J200</f>
        <v>0</v>
      </c>
      <c r="K202" s="225">
        <f t="shared" si="112"/>
        <v>0</v>
      </c>
      <c r="L202" s="225">
        <f>L201-L200</f>
        <v>0</v>
      </c>
      <c r="M202" s="226">
        <f>M201-M200</f>
        <v>-7.2935977244643624E-2</v>
      </c>
      <c r="N202" s="225">
        <f t="shared" ref="N202:R202" si="113">N201-N200</f>
        <v>0.14288908135472056</v>
      </c>
      <c r="O202" s="225">
        <f>O201-O200</f>
        <v>0.68384925801112928</v>
      </c>
      <c r="P202" s="225">
        <f t="shared" si="113"/>
        <v>0.64126238315230211</v>
      </c>
      <c r="Q202" s="225">
        <f t="shared" si="113"/>
        <v>0.60040869694056198</v>
      </c>
      <c r="R202" s="225">
        <f t="shared" si="113"/>
        <v>0</v>
      </c>
    </row>
    <row r="204" spans="1:26" x14ac:dyDescent="0.25">
      <c r="E204" s="56" t="str">
        <f>E$191</f>
        <v>Total True up Nominal revenue to company- real</v>
      </c>
      <c r="F204" s="225">
        <f t="shared" ref="F204:R204" si="114">F$191</f>
        <v>0</v>
      </c>
      <c r="G204" s="56" t="str">
        <f t="shared" si="114"/>
        <v>£m</v>
      </c>
      <c r="H204" s="299">
        <f t="shared" si="114"/>
        <v>290.47279459608723</v>
      </c>
      <c r="I204" s="299"/>
      <c r="J204" s="225">
        <f t="shared" si="114"/>
        <v>0</v>
      </c>
      <c r="K204" s="225">
        <f t="shared" si="114"/>
        <v>0</v>
      </c>
      <c r="L204" s="225">
        <f t="shared" si="114"/>
        <v>0</v>
      </c>
      <c r="M204" s="226">
        <f t="shared" si="114"/>
        <v>62.511059013969479</v>
      </c>
      <c r="N204" s="225">
        <f t="shared" si="114"/>
        <v>60.174697554550001</v>
      </c>
      <c r="O204" s="225">
        <f t="shared" si="114"/>
        <v>57.993131557120343</v>
      </c>
      <c r="P204" s="225">
        <f t="shared" si="114"/>
        <v>55.903924732750738</v>
      </c>
      <c r="Q204" s="225">
        <f t="shared" si="114"/>
        <v>53.889981737696658</v>
      </c>
      <c r="R204" s="225">
        <f t="shared" si="114"/>
        <v>0</v>
      </c>
    </row>
    <row r="205" spans="1:26" x14ac:dyDescent="0.25">
      <c r="E205" s="56" t="str">
        <f>E$194</f>
        <v>Total nominal revenue company should have received- real</v>
      </c>
      <c r="F205" s="225">
        <f t="shared" ref="F205:R205" si="115">F$194</f>
        <v>0</v>
      </c>
      <c r="G205" s="56" t="str">
        <f t="shared" si="115"/>
        <v>£m</v>
      </c>
      <c r="H205" s="299">
        <f t="shared" si="115"/>
        <v>296.7322089624318</v>
      </c>
      <c r="I205" s="299"/>
      <c r="J205" s="225">
        <f t="shared" si="115"/>
        <v>0</v>
      </c>
      <c r="K205" s="225">
        <f t="shared" si="115"/>
        <v>0</v>
      </c>
      <c r="L205" s="225">
        <f t="shared" si="115"/>
        <v>0</v>
      </c>
      <c r="M205" s="226">
        <f t="shared" si="115"/>
        <v>62.282272955417909</v>
      </c>
      <c r="N205" s="225">
        <f t="shared" si="115"/>
        <v>60.622912975364201</v>
      </c>
      <c r="O205" s="225">
        <f t="shared" si="115"/>
        <v>60.138234458244163</v>
      </c>
      <c r="P205" s="225">
        <f t="shared" si="115"/>
        <v>57.915440841552609</v>
      </c>
      <c r="Q205" s="225">
        <f t="shared" si="115"/>
        <v>55.773347731852937</v>
      </c>
      <c r="R205" s="225">
        <f t="shared" si="115"/>
        <v>0</v>
      </c>
    </row>
    <row r="206" spans="1:26" x14ac:dyDescent="0.25">
      <c r="A206" s="89"/>
      <c r="B206" s="95"/>
      <c r="C206" s="332"/>
      <c r="D206" s="91"/>
      <c r="E206" s="60" t="s">
        <v>322</v>
      </c>
      <c r="G206" s="56" t="s">
        <v>88</v>
      </c>
      <c r="H206" s="226">
        <f xml:space="preserve"> SUM(J206:R206)</f>
        <v>6.2594143663446005</v>
      </c>
      <c r="I206" s="226"/>
      <c r="J206" s="225">
        <f t="shared" ref="J206:K206" si="116">J205-J204</f>
        <v>0</v>
      </c>
      <c r="K206" s="225">
        <f t="shared" si="116"/>
        <v>0</v>
      </c>
      <c r="L206" s="225">
        <f>L205-L204</f>
        <v>0</v>
      </c>
      <c r="M206" s="226">
        <f>M205-M204</f>
        <v>-0.22878605855157019</v>
      </c>
      <c r="N206" s="225">
        <f t="shared" ref="N206:R206" si="117">N205-N204</f>
        <v>0.44821542081420063</v>
      </c>
      <c r="O206" s="225">
        <f t="shared" si="117"/>
        <v>2.1451029011238205</v>
      </c>
      <c r="P206" s="225">
        <f t="shared" si="117"/>
        <v>2.0115161088018709</v>
      </c>
      <c r="Q206" s="225">
        <f t="shared" si="117"/>
        <v>1.8833659941562786</v>
      </c>
      <c r="R206" s="225">
        <f t="shared" si="117"/>
        <v>0</v>
      </c>
    </row>
    <row r="208" spans="1:26" x14ac:dyDescent="0.25">
      <c r="B208" s="80" t="s">
        <v>270</v>
      </c>
      <c r="E208" s="60"/>
      <c r="H208" s="226"/>
      <c r="I208" s="226"/>
      <c r="J208" s="225"/>
      <c r="K208" s="225"/>
      <c r="L208" s="225"/>
      <c r="M208" s="226"/>
      <c r="N208" s="225"/>
      <c r="O208" s="225"/>
      <c r="P208" s="225"/>
      <c r="Q208" s="225"/>
      <c r="R208" s="225"/>
    </row>
    <row r="209" spans="1:26" s="126" customFormat="1" x14ac:dyDescent="0.25">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5">
      <c r="A210" s="249"/>
      <c r="B210" s="250"/>
      <c r="C210" s="251"/>
      <c r="D210" s="252"/>
      <c r="E210" s="49" t="str">
        <f>InpR!E$110</f>
        <v>WACC real on RCV - CPI(H) bf and additions - WWN</v>
      </c>
      <c r="F210" s="253">
        <f>InpR!F$110</f>
        <v>0</v>
      </c>
      <c r="G210" s="271" t="str">
        <f>InpR!G$110</f>
        <v>%</v>
      </c>
      <c r="H210" s="253" t="str">
        <f>InpR!I$110</f>
        <v>PR19 Financial model, 'Wastewater Network' sheet row 860</v>
      </c>
      <c r="I210" s="253" t="e">
        <f>InpR!#REF!</f>
        <v>#REF!</v>
      </c>
      <c r="J210" s="253">
        <f>InpR!J$110</f>
        <v>0</v>
      </c>
      <c r="K210" s="253">
        <f>InpR!K$110</f>
        <v>0</v>
      </c>
      <c r="L210" s="253">
        <f>InpR!L$110</f>
        <v>0</v>
      </c>
      <c r="M210" s="253">
        <f>InpR!M$110</f>
        <v>3.1200592500000068E-2</v>
      </c>
      <c r="N210" s="253">
        <f>InpR!N$110</f>
        <v>3.1200592500000068E-2</v>
      </c>
      <c r="O210" s="253">
        <f>InpR!O$110</f>
        <v>3.1200592500000068E-2</v>
      </c>
      <c r="P210" s="253">
        <f>InpR!P$110</f>
        <v>3.1200592500000068E-2</v>
      </c>
      <c r="Q210" s="253">
        <f>InpR!Q$110</f>
        <v>3.1200592500000068E-2</v>
      </c>
      <c r="R210" s="253">
        <f>InpR!R$110</f>
        <v>0</v>
      </c>
    </row>
    <row r="211" spans="1:26" x14ac:dyDescent="0.25">
      <c r="E211" s="60" t="s">
        <v>272</v>
      </c>
      <c r="G211" s="56" t="s">
        <v>273</v>
      </c>
      <c r="J211" s="309">
        <f xml:space="preserve"> (1 + J$210) ^ J$209</f>
        <v>1</v>
      </c>
      <c r="K211" s="309">
        <f t="shared" ref="K211:R211" si="118" xml:space="preserve"> (1 + K$210) ^ K$209</f>
        <v>1</v>
      </c>
      <c r="L211" s="309">
        <f t="shared" si="118"/>
        <v>1</v>
      </c>
      <c r="M211" s="309">
        <f t="shared" si="118"/>
        <v>1.1307656717248122</v>
      </c>
      <c r="N211" s="309">
        <f t="shared" si="118"/>
        <v>1.0965525814753758</v>
      </c>
      <c r="O211" s="309">
        <f t="shared" si="118"/>
        <v>1.0633746619723512</v>
      </c>
      <c r="P211" s="309">
        <f t="shared" si="118"/>
        <v>1.0312005925000001</v>
      </c>
      <c r="Q211" s="309">
        <f t="shared" si="118"/>
        <v>1</v>
      </c>
      <c r="R211" s="309">
        <f t="shared" si="118"/>
        <v>1</v>
      </c>
    </row>
    <row r="213" spans="1:26" x14ac:dyDescent="0.25">
      <c r="B213" s="80" t="s">
        <v>274</v>
      </c>
    </row>
    <row r="214" spans="1:26" x14ac:dyDescent="0.25">
      <c r="E214" s="56" t="str">
        <f>E$198</f>
        <v>Value of True up run-off - real</v>
      </c>
      <c r="F214" s="225">
        <f t="shared" ref="F214:R214" si="119">F$198</f>
        <v>0</v>
      </c>
      <c r="G214" s="56" t="str">
        <f t="shared" si="119"/>
        <v>£m</v>
      </c>
      <c r="H214" s="299">
        <f t="shared" si="119"/>
        <v>4.2639409241305088</v>
      </c>
      <c r="I214" s="299">
        <f t="shared" si="119"/>
        <v>0</v>
      </c>
      <c r="J214" s="225">
        <f t="shared" si="119"/>
        <v>0</v>
      </c>
      <c r="K214" s="225">
        <f t="shared" si="119"/>
        <v>0</v>
      </c>
      <c r="L214" s="225">
        <f t="shared" si="119"/>
        <v>0</v>
      </c>
      <c r="M214" s="226">
        <f t="shared" si="119"/>
        <v>-0.15585008130693012</v>
      </c>
      <c r="N214" s="225">
        <f t="shared" si="119"/>
        <v>0.30532633945946941</v>
      </c>
      <c r="O214" s="225">
        <f t="shared" si="119"/>
        <v>1.4612536431126912</v>
      </c>
      <c r="P214" s="225">
        <f t="shared" si="119"/>
        <v>1.3702537256495546</v>
      </c>
      <c r="Q214" s="225">
        <f t="shared" si="119"/>
        <v>1.2829572972157237</v>
      </c>
      <c r="R214" s="225">
        <f t="shared" si="119"/>
        <v>0</v>
      </c>
    </row>
    <row r="215" spans="1:26" x14ac:dyDescent="0.25">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1.1307656717248122</v>
      </c>
      <c r="N215" s="225">
        <f t="shared" si="120"/>
        <v>1.0965525814753758</v>
      </c>
      <c r="O215" s="225">
        <f t="shared" si="120"/>
        <v>1.0633746619723512</v>
      </c>
      <c r="P215" s="225">
        <f t="shared" si="120"/>
        <v>1.0312005925000001</v>
      </c>
      <c r="Q215" s="225">
        <f t="shared" si="120"/>
        <v>1</v>
      </c>
      <c r="R215" s="225">
        <f t="shared" si="120"/>
        <v>1</v>
      </c>
    </row>
    <row r="216" spans="1:26" s="44" customFormat="1" x14ac:dyDescent="0.25">
      <c r="A216" s="319"/>
      <c r="B216" s="320"/>
      <c r="C216" s="321"/>
      <c r="D216" s="322"/>
      <c r="E216" s="44" t="s">
        <v>360</v>
      </c>
      <c r="G216" s="44" t="s">
        <v>88</v>
      </c>
      <c r="H216" s="325">
        <f xml:space="preserve"> SUM(J216:R216)</f>
        <v>4.4084003136310121</v>
      </c>
      <c r="J216" s="325">
        <f xml:space="preserve"> J214 * J215</f>
        <v>0</v>
      </c>
      <c r="K216" s="325">
        <f t="shared" ref="K216:R216" si="121" xml:space="preserve"> K214 * K215</f>
        <v>0</v>
      </c>
      <c r="L216" s="325">
        <f t="shared" si="121"/>
        <v>0</v>
      </c>
      <c r="M216" s="331">
        <f t="shared" si="121"/>
        <v>-0.17622992187739744</v>
      </c>
      <c r="N216" s="325">
        <f t="shared" si="121"/>
        <v>0.33480638572670807</v>
      </c>
      <c r="O216" s="325">
        <f t="shared" si="121"/>
        <v>1.5538600988008247</v>
      </c>
      <c r="P216" s="325">
        <f t="shared" si="121"/>
        <v>1.4130064537651532</v>
      </c>
      <c r="Q216" s="325">
        <f t="shared" si="121"/>
        <v>1.2829572972157237</v>
      </c>
      <c r="R216" s="325">
        <f t="shared" si="121"/>
        <v>0</v>
      </c>
      <c r="S216" s="46"/>
      <c r="T216" s="46"/>
      <c r="U216" s="46"/>
      <c r="V216" s="46"/>
      <c r="W216" s="46"/>
      <c r="X216" s="46"/>
      <c r="Y216" s="46"/>
      <c r="Z216" s="46"/>
    </row>
    <row r="218" spans="1:26" x14ac:dyDescent="0.25">
      <c r="B218" s="80" t="s">
        <v>275</v>
      </c>
    </row>
    <row r="219" spans="1:26" x14ac:dyDescent="0.25">
      <c r="E219" s="56" t="str">
        <f>E202</f>
        <v>Value of True up return - real</v>
      </c>
      <c r="F219" s="225">
        <f t="shared" ref="F219:R219" si="122">F202</f>
        <v>0</v>
      </c>
      <c r="G219" s="56" t="str">
        <f t="shared" si="122"/>
        <v>£m</v>
      </c>
      <c r="H219" s="299">
        <f t="shared" si="122"/>
        <v>1.9954734422140703</v>
      </c>
      <c r="I219" s="299">
        <f t="shared" si="122"/>
        <v>0</v>
      </c>
      <c r="J219" s="225">
        <f t="shared" si="122"/>
        <v>0</v>
      </c>
      <c r="K219" s="225">
        <f t="shared" si="122"/>
        <v>0</v>
      </c>
      <c r="L219" s="225">
        <f t="shared" si="122"/>
        <v>0</v>
      </c>
      <c r="M219" s="226">
        <f t="shared" si="122"/>
        <v>-7.2935977244643624E-2</v>
      </c>
      <c r="N219" s="225">
        <f t="shared" si="122"/>
        <v>0.14288908135472056</v>
      </c>
      <c r="O219" s="225">
        <f t="shared" si="122"/>
        <v>0.68384925801112928</v>
      </c>
      <c r="P219" s="225">
        <f t="shared" si="122"/>
        <v>0.64126238315230211</v>
      </c>
      <c r="Q219" s="225">
        <f t="shared" si="122"/>
        <v>0.60040869694056198</v>
      </c>
      <c r="R219" s="225">
        <f t="shared" si="122"/>
        <v>0</v>
      </c>
    </row>
    <row r="220" spans="1:26" x14ac:dyDescent="0.25">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1.1307656717248122</v>
      </c>
      <c r="N220" s="225">
        <f t="shared" si="123"/>
        <v>1.0965525814753758</v>
      </c>
      <c r="O220" s="225">
        <f t="shared" si="123"/>
        <v>1.0633746619723512</v>
      </c>
      <c r="P220" s="225">
        <f t="shared" si="123"/>
        <v>1.0312005925000001</v>
      </c>
      <c r="Q220" s="225">
        <f t="shared" si="123"/>
        <v>1</v>
      </c>
      <c r="R220" s="225">
        <f t="shared" si="123"/>
        <v>1</v>
      </c>
    </row>
    <row r="221" spans="1:26" s="44" customFormat="1" x14ac:dyDescent="0.25">
      <c r="A221" s="319"/>
      <c r="B221" s="320"/>
      <c r="C221" s="321"/>
      <c r="D221" s="322"/>
      <c r="E221" s="44" t="s">
        <v>359</v>
      </c>
      <c r="G221" s="44" t="s">
        <v>88</v>
      </c>
      <c r="H221" s="325">
        <f xml:space="preserve"> SUM(J221:R221)</f>
        <v>2.0630787116950247</v>
      </c>
      <c r="J221" s="325">
        <f xml:space="preserve"> J219 * J220</f>
        <v>0</v>
      </c>
      <c r="K221" s="325">
        <f t="shared" ref="K221:M221" si="124" xml:space="preserve"> K219 * K220</f>
        <v>0</v>
      </c>
      <c r="L221" s="325">
        <f t="shared" si="124"/>
        <v>0</v>
      </c>
      <c r="M221" s="331">
        <f t="shared" si="124"/>
        <v>-8.2473499301945072E-2</v>
      </c>
      <c r="N221" s="325">
        <f xml:space="preserve"> N219 * N220</f>
        <v>0.15668539102416382</v>
      </c>
      <c r="O221" s="325">
        <f t="shared" ref="O221:R221" si="125" xml:space="preserve"> O219 * O220</f>
        <v>0.72718797357762777</v>
      </c>
      <c r="P221" s="325">
        <f t="shared" si="125"/>
        <v>0.66127014945461604</v>
      </c>
      <c r="Q221" s="325">
        <f t="shared" si="125"/>
        <v>0.60040869694056198</v>
      </c>
      <c r="R221" s="325">
        <f t="shared" si="125"/>
        <v>0</v>
      </c>
      <c r="S221" s="46"/>
      <c r="T221" s="46"/>
      <c r="U221" s="46"/>
      <c r="V221" s="46"/>
      <c r="W221" s="46"/>
      <c r="X221" s="46"/>
      <c r="Y221" s="46"/>
      <c r="Z221" s="46"/>
    </row>
    <row r="223" spans="1:26" x14ac:dyDescent="0.3">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44" priority="6" stopIfTrue="1" operator="notEqual">
      <formula>0</formula>
    </cfRule>
    <cfRule type="cellIs" dxfId="43" priority="7" stopIfTrue="1" operator="equal">
      <formula>""</formula>
    </cfRule>
  </conditionalFormatting>
  <conditionalFormatting sqref="J3:Z3">
    <cfRule type="cellIs" dxfId="42" priority="8" operator="equal">
      <formula>"Post-Fcst"</formula>
    </cfRule>
    <cfRule type="cellIs" dxfId="41" priority="9" operator="equal">
      <formula>"Forecast"</formula>
    </cfRule>
    <cfRule type="cellIs" dxfId="40" priority="10" operator="equal">
      <formula>"Pre Fcst"</formula>
    </cfRule>
  </conditionalFormatting>
  <conditionalFormatting sqref="F2">
    <cfRule type="cellIs" dxfId="39" priority="4" stopIfTrue="1" operator="notEqual">
      <formula>0</formula>
    </cfRule>
    <cfRule type="cellIs" dxfId="38" priority="5" stopIfTrue="1" operator="equal">
      <formula>""</formula>
    </cfRule>
  </conditionalFormatting>
  <conditionalFormatting sqref="F165">
    <cfRule type="cellIs" dxfId="37" priority="2" stopIfTrue="1" operator="notEqual">
      <formula>0</formula>
    </cfRule>
    <cfRule type="cellIs" dxfId="36"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14C990C65E1A54A82B8A553E5BD86A4" ma:contentTypeVersion="14" ma:contentTypeDescription="Create a new document." ma:contentTypeScope="" ma:versionID="36a2623dfae4dee0c3be2d861cf7e65a">
  <xsd:schema xmlns:xsd="http://www.w3.org/2001/XMLSchema" xmlns:xs="http://www.w3.org/2001/XMLSchema" xmlns:p="http://schemas.microsoft.com/office/2006/metadata/properties" xmlns:ns2="d0997b49-e65c-4f48-bb06-5837f8a44081" xmlns:ns3="1cd42318-77a4-4205-8fcf-c5408423388f" targetNamespace="http://schemas.microsoft.com/office/2006/metadata/properties" ma:root="true" ma:fieldsID="e7f6188d3f9a8b6bf4e798aba8a67ed6" ns2:_="" ns3:_="">
    <xsd:import namespace="d0997b49-e65c-4f48-bb06-5837f8a44081"/>
    <xsd:import namespace="1cd42318-77a4-4205-8fcf-c540842338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Documentpurpos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997b49-e65c-4f48-bb06-5837f8a440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Documentpurpose" ma:index="18" nillable="true" ma:displayName="Document purpose" ma:format="Dropdown" ma:internalName="Documentpurpos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d42318-77a4-4205-8fcf-c5408423388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7e16c9f-1e8b-4d4a-b646-ca785afcbf9b}" ma:internalName="TaxCatchAll" ma:showField="CatchAllData" ma:web="1cd42318-77a4-4205-8fcf-c5408423388f">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cd42318-77a4-4205-8fcf-c5408423388f" xsi:nil="true"/>
    <lcf76f155ced4ddcb4097134ff3c332f xmlns="d0997b49-e65c-4f48-bb06-5837f8a44081">
      <Terms xmlns="http://schemas.microsoft.com/office/infopath/2007/PartnerControls"/>
    </lcf76f155ced4ddcb4097134ff3c332f>
    <Documentpurpose xmlns="d0997b49-e65c-4f48-bb06-5837f8a44081" xsi:nil="true"/>
  </documentManagement>
</p:properties>
</file>

<file path=customXml/itemProps1.xml><?xml version="1.0" encoding="utf-8"?>
<ds:datastoreItem xmlns:ds="http://schemas.openxmlformats.org/officeDocument/2006/customXml" ds:itemID="{86F6DF6E-37A9-44B3-AE03-9A94CC75389C}">
  <ds:schemaRefs>
    <ds:schemaRef ds:uri="http://schemas.microsoft.com/sharepoint/v3/contenttype/forms"/>
  </ds:schemaRefs>
</ds:datastoreItem>
</file>

<file path=customXml/itemProps2.xml><?xml version="1.0" encoding="utf-8"?>
<ds:datastoreItem xmlns:ds="http://schemas.openxmlformats.org/officeDocument/2006/customXml" ds:itemID="{2FA5146E-888D-4FC7-9E78-E559C8B682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997b49-e65c-4f48-bb06-5837f8a44081"/>
    <ds:schemaRef ds:uri="1cd42318-77a4-4205-8fcf-c540842338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15F2D5-2104-455F-98C7-B26412ABD4EE}">
  <ds:schemaRefs>
    <ds:schemaRef ds:uri="http://www.w3.org/XML/1998/namespace"/>
    <ds:schemaRef ds:uri="http://schemas.microsoft.com/office/2006/documentManagement/types"/>
    <ds:schemaRef ds:uri="http://purl.org/dc/terms/"/>
    <ds:schemaRef ds:uri="1cd42318-77a4-4205-8fcf-c5408423388f"/>
    <ds:schemaRef ds:uri="d0997b49-e65c-4f48-bb06-5837f8a44081"/>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Style Guide</vt:lpstr>
      <vt:lpstr>ToC</vt:lpstr>
      <vt:lpstr>InpR</vt:lpstr>
      <vt:lpstr>Time</vt:lpstr>
      <vt:lpstr>Index</vt:lpstr>
      <vt:lpstr>Calcs-WR</vt:lpstr>
      <vt:lpstr>Calcs-WN</vt:lpstr>
      <vt:lpstr>Calcs-WWN</vt:lpstr>
      <vt:lpstr>Calcs-BR</vt:lpstr>
      <vt:lpstr>Calcs-DMMY</vt:lpstr>
      <vt:lpstr>Adjustments</vt:lpstr>
      <vt:lpstr>Checks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2020-02-27T10:30:55Z</dcterms:created>
  <dcterms:modified xsi:type="dcterms:W3CDTF">2023-09-22T07:39:56Z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0x010100214C990C65E1A54A82B8A553E5BD86A4</vt:lpwstr>
  </property>
  <property fmtid="{D5CDD505-2E9C-101B-9397-08002B2CF9AE}" pid="3" name="Collection">
    <vt:lpwstr/>
  </property>
  <property fmtid="{D5CDD505-2E9C-101B-9397-08002B2CF9AE}" pid="4" name="Meeting">
    <vt:lpwstr/>
  </property>
  <property fmtid="{D5CDD505-2E9C-101B-9397-08002B2CF9AE}" pid="5" name="Project Code">
    <vt:lpwstr>1896;#Company performance monitoring ＆ engagement|3cbb2248-aeb0-4f5e-8833-d72f52afb8f0</vt:lpwstr>
  </property>
  <property fmtid="{D5CDD505-2E9C-101B-9397-08002B2CF9AE}" pid="6" name="Stakeholder 2">
    <vt:lpwstr/>
  </property>
  <property fmtid="{D5CDD505-2E9C-101B-9397-08002B2CF9AE}" pid="7" name="Stakeholder">
    <vt:lpwstr>25;#Water and wastewater companies (WaSCs)|1f450446-47d1-4fe9-8d64-c249a3be1897</vt:lpwstr>
  </property>
  <property fmtid="{D5CDD505-2E9C-101B-9397-08002B2CF9AE}" pid="8" name="Security Classification">
    <vt:lpwstr>21;#OFFICIAL|c2540f30-f875-494b-a43f-ebfb5017a6ad</vt:lpwstr>
  </property>
  <property fmtid="{D5CDD505-2E9C-101B-9397-08002B2CF9AE}" pid="9" name="Hierarchy">
    <vt:lpwstr/>
  </property>
  <property fmtid="{D5CDD505-2E9C-101B-9397-08002B2CF9AE}" pid="10" name="Stakeholder_x0020_3">
    <vt:lpwstr/>
  </property>
  <property fmtid="{D5CDD505-2E9C-101B-9397-08002B2CF9AE}" pid="11" name="Stakeholder_x0020_4">
    <vt:lpwstr/>
  </property>
  <property fmtid="{D5CDD505-2E9C-101B-9397-08002B2CF9AE}" pid="12" name="Stakeholder_x0020_2">
    <vt:lpwstr/>
  </property>
  <property fmtid="{D5CDD505-2E9C-101B-9397-08002B2CF9AE}" pid="13" name="Follow-up">
    <vt:bool>false</vt:bool>
  </property>
  <property fmtid="{D5CDD505-2E9C-101B-9397-08002B2CF9AE}" pid="14" name="Stakeholder_x0020_5">
    <vt:lpwstr/>
  </property>
  <property fmtid="{D5CDD505-2E9C-101B-9397-08002B2CF9AE}" pid="15" name="Stakeholder 5">
    <vt:lpwstr/>
  </property>
  <property fmtid="{D5CDD505-2E9C-101B-9397-08002B2CF9AE}" pid="16" name="Stakeholder 3">
    <vt:lpwstr/>
  </property>
  <property fmtid="{D5CDD505-2E9C-101B-9397-08002B2CF9AE}" pid="17" name="Stakeholder 4">
    <vt:lpwstr/>
  </property>
  <property fmtid="{D5CDD505-2E9C-101B-9397-08002B2CF9AE}" pid="18" name="MediaServiceImageTags">
    <vt:lpwstr/>
  </property>
</Properties>
</file>