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arketing\FOR MARK\WEB PDFs\Planning for the future\"/>
    </mc:Choice>
  </mc:AlternateContent>
  <bookViews>
    <workbookView xWindow="0" yWindow="15" windowWidth="16185" windowHeight="8280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52511"/>
</workbook>
</file>

<file path=xl/calcChain.xml><?xml version="1.0" encoding="utf-8"?>
<calcChain xmlns="http://schemas.openxmlformats.org/spreadsheetml/2006/main">
  <c r="H23" i="4" l="1"/>
  <c r="H22" i="4"/>
  <c r="M126" i="5"/>
  <c r="L126" i="5"/>
  <c r="K13" i="4"/>
  <c r="M140" i="5"/>
  <c r="N140" i="5"/>
  <c r="O140" i="5"/>
  <c r="P140" i="5"/>
  <c r="M141" i="5"/>
  <c r="N141" i="5"/>
  <c r="O141" i="5"/>
  <c r="P141" i="5"/>
  <c r="L141" i="5"/>
  <c r="L140" i="5"/>
  <c r="L23" i="5"/>
  <c r="L22" i="5"/>
  <c r="E23" i="5"/>
  <c r="E22" i="5"/>
  <c r="H105" i="4"/>
  <c r="P147" i="4"/>
  <c r="O147" i="4"/>
  <c r="N147" i="4"/>
  <c r="M147" i="4"/>
  <c r="L147" i="4"/>
  <c r="P7" i="4"/>
  <c r="M38" i="8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/>
  <c r="M40" i="7"/>
  <c r="N40" i="7"/>
  <c r="O40" i="7"/>
  <c r="P40" i="7"/>
  <c r="Q40" i="7"/>
  <c r="R40" i="7"/>
  <c r="S40" i="7"/>
  <c r="T40" i="7"/>
  <c r="U40" i="7"/>
  <c r="J40" i="7"/>
  <c r="I40" i="7"/>
  <c r="K39" i="7"/>
  <c r="L39" i="7"/>
  <c r="M39" i="7"/>
  <c r="N39" i="7"/>
  <c r="O39" i="7"/>
  <c r="P39" i="7"/>
  <c r="Q39" i="7"/>
  <c r="R39" i="7"/>
  <c r="S39" i="7"/>
  <c r="T39" i="7"/>
  <c r="U39" i="7"/>
  <c r="J39" i="7"/>
  <c r="I39" i="7"/>
  <c r="K38" i="7"/>
  <c r="L38" i="7"/>
  <c r="M38" i="7"/>
  <c r="N38" i="7"/>
  <c r="O38" i="7"/>
  <c r="P38" i="7"/>
  <c r="Q38" i="7"/>
  <c r="R38" i="7"/>
  <c r="S38" i="7"/>
  <c r="T38" i="7"/>
  <c r="U38" i="7"/>
  <c r="J38" i="7"/>
  <c r="I38" i="7"/>
  <c r="K37" i="7"/>
  <c r="L37" i="7"/>
  <c r="M37" i="7"/>
  <c r="N37" i="7"/>
  <c r="O37" i="7"/>
  <c r="P37" i="7"/>
  <c r="Q37" i="7"/>
  <c r="R37" i="7"/>
  <c r="S37" i="7"/>
  <c r="T37" i="7"/>
  <c r="U37" i="7"/>
  <c r="J37" i="7"/>
  <c r="I37" i="7"/>
  <c r="K36" i="7"/>
  <c r="L36" i="7"/>
  <c r="M36" i="7"/>
  <c r="N36" i="7"/>
  <c r="O36" i="7"/>
  <c r="P36" i="7"/>
  <c r="Q36" i="7"/>
  <c r="R36" i="7"/>
  <c r="S36" i="7"/>
  <c r="T36" i="7"/>
  <c r="U36" i="7"/>
  <c r="J36" i="7"/>
  <c r="I36" i="7"/>
  <c r="H36" i="7"/>
  <c r="K35" i="7"/>
  <c r="L35" i="7"/>
  <c r="M35" i="7"/>
  <c r="N35" i="7"/>
  <c r="O35" i="7"/>
  <c r="P35" i="7"/>
  <c r="Q35" i="7"/>
  <c r="R35" i="7"/>
  <c r="S35" i="7"/>
  <c r="T35" i="7"/>
  <c r="U35" i="7"/>
  <c r="J35" i="7"/>
  <c r="I35" i="7"/>
  <c r="K34" i="7"/>
  <c r="L34" i="7"/>
  <c r="M34" i="7"/>
  <c r="N34" i="7"/>
  <c r="O34" i="7"/>
  <c r="P34" i="7"/>
  <c r="Q34" i="7"/>
  <c r="R34" i="7"/>
  <c r="S34" i="7"/>
  <c r="T34" i="7"/>
  <c r="U34" i="7"/>
  <c r="J34" i="7"/>
  <c r="I34" i="7"/>
  <c r="K33" i="7"/>
  <c r="L33" i="7"/>
  <c r="M33" i="7"/>
  <c r="N33" i="7"/>
  <c r="O33" i="7"/>
  <c r="P33" i="7"/>
  <c r="Q33" i="7"/>
  <c r="R33" i="7"/>
  <c r="S33" i="7"/>
  <c r="T33" i="7"/>
  <c r="U33" i="7"/>
  <c r="J33" i="7"/>
  <c r="I33" i="7"/>
  <c r="K32" i="7"/>
  <c r="L32" i="7"/>
  <c r="M32" i="7"/>
  <c r="N32" i="7"/>
  <c r="O32" i="7"/>
  <c r="P32" i="7"/>
  <c r="Q32" i="7"/>
  <c r="R32" i="7"/>
  <c r="S32" i="7"/>
  <c r="T32" i="7"/>
  <c r="U32" i="7"/>
  <c r="J32" i="7"/>
  <c r="I32" i="7"/>
  <c r="K31" i="7"/>
  <c r="L31" i="7"/>
  <c r="M31" i="7"/>
  <c r="N31" i="7"/>
  <c r="O31" i="7"/>
  <c r="P31" i="7"/>
  <c r="Q31" i="7"/>
  <c r="R31" i="7"/>
  <c r="S31" i="7"/>
  <c r="T31" i="7"/>
  <c r="U31" i="7"/>
  <c r="J31" i="7"/>
  <c r="I31" i="7"/>
  <c r="K30" i="7"/>
  <c r="L30" i="7"/>
  <c r="M30" i="7"/>
  <c r="N30" i="7"/>
  <c r="O30" i="7"/>
  <c r="P30" i="7"/>
  <c r="Q30" i="7"/>
  <c r="R30" i="7"/>
  <c r="S30" i="7"/>
  <c r="T30" i="7"/>
  <c r="U30" i="7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/>
  <c r="G193" i="5"/>
  <c r="G192" i="5"/>
  <c r="K41" i="7"/>
  <c r="I41" i="7"/>
  <c r="L29" i="7"/>
  <c r="L41" i="7"/>
  <c r="J41" i="7"/>
  <c r="H104" i="4"/>
  <c r="H96" i="4"/>
  <c r="G40" i="5"/>
  <c r="H121" i="4"/>
  <c r="L49" i="7"/>
  <c r="L19" i="5"/>
  <c r="I49" i="7"/>
  <c r="K49" i="7"/>
  <c r="J49" i="7"/>
  <c r="G57" i="5"/>
  <c r="G39" i="5"/>
  <c r="G44" i="5"/>
  <c r="G52" i="5"/>
  <c r="L136" i="5"/>
  <c r="L144" i="5"/>
  <c r="H115" i="4"/>
  <c r="M29" i="7"/>
  <c r="N29" i="7"/>
  <c r="L15" i="5"/>
  <c r="L31" i="5"/>
  <c r="L180" i="5"/>
  <c r="L183" i="5"/>
  <c r="L18" i="5"/>
  <c r="L14" i="5"/>
  <c r="L30" i="5" s="1"/>
  <c r="M41" i="7"/>
  <c r="M49" i="7"/>
  <c r="K51" i="7"/>
  <c r="L51" i="7"/>
  <c r="J51" i="7"/>
  <c r="P136" i="5"/>
  <c r="P144" i="5"/>
  <c r="O136" i="5"/>
  <c r="O144" i="5" s="1"/>
  <c r="N136" i="5"/>
  <c r="N144" i="5"/>
  <c r="M136" i="5"/>
  <c r="M144" i="5" s="1"/>
  <c r="M152" i="5" s="1"/>
  <c r="P137" i="5"/>
  <c r="P145" i="5" s="1"/>
  <c r="P153" i="5" s="1"/>
  <c r="O137" i="5"/>
  <c r="O145" i="5" s="1"/>
  <c r="N137" i="5"/>
  <c r="N145" i="5" s="1"/>
  <c r="N153" i="5" s="1"/>
  <c r="L137" i="5"/>
  <c r="L145" i="5" s="1"/>
  <c r="L153" i="5" s="1"/>
  <c r="M137" i="5"/>
  <c r="M145" i="5" s="1"/>
  <c r="G56" i="5"/>
  <c r="G63" i="5"/>
  <c r="G51" i="5"/>
  <c r="H120" i="4"/>
  <c r="N41" i="7"/>
  <c r="N49" i="7"/>
  <c r="O29" i="7"/>
  <c r="M180" i="5"/>
  <c r="M183" i="5"/>
  <c r="M19" i="5"/>
  <c r="N180" i="5"/>
  <c r="N183" i="5"/>
  <c r="N19" i="5"/>
  <c r="N31" i="5" s="1"/>
  <c r="M15" i="5"/>
  <c r="M18" i="5"/>
  <c r="N51" i="7"/>
  <c r="M14" i="5"/>
  <c r="M51" i="7"/>
  <c r="N14" i="5"/>
  <c r="N30" i="5" s="1"/>
  <c r="N15" i="5"/>
  <c r="N135" i="4"/>
  <c r="N18" i="5"/>
  <c r="H119" i="4"/>
  <c r="O41" i="7"/>
  <c r="O49" i="7"/>
  <c r="P29" i="7"/>
  <c r="M31" i="5"/>
  <c r="M32" i="5" s="1"/>
  <c r="O180" i="5"/>
  <c r="O183" i="5"/>
  <c r="O19" i="5"/>
  <c r="O31" i="5" s="1"/>
  <c r="M30" i="5"/>
  <c r="O51" i="7"/>
  <c r="G46" i="5"/>
  <c r="O14" i="5"/>
  <c r="O15" i="5"/>
  <c r="O135" i="4"/>
  <c r="O18" i="5"/>
  <c r="G41" i="5"/>
  <c r="G64" i="5"/>
  <c r="P41" i="7"/>
  <c r="P49" i="7"/>
  <c r="Q29" i="7"/>
  <c r="P180" i="5"/>
  <c r="P183" i="5"/>
  <c r="P186" i="5"/>
  <c r="P19" i="5"/>
  <c r="O30" i="5"/>
  <c r="G65" i="5"/>
  <c r="P14" i="5"/>
  <c r="P15" i="5"/>
  <c r="P31" i="5" s="1"/>
  <c r="P135" i="4"/>
  <c r="P18" i="5"/>
  <c r="P51" i="7"/>
  <c r="L148" i="5"/>
  <c r="L162" i="5"/>
  <c r="L166" i="5" s="1"/>
  <c r="L170" i="5" s="1"/>
  <c r="P148" i="5"/>
  <c r="P152" i="5" s="1"/>
  <c r="O148" i="5"/>
  <c r="N148" i="5"/>
  <c r="M148" i="5"/>
  <c r="G53" i="5"/>
  <c r="G58" i="5"/>
  <c r="H131" i="4"/>
  <c r="H132" i="4"/>
  <c r="G70" i="5"/>
  <c r="G69" i="5"/>
  <c r="G68" i="5"/>
  <c r="Q41" i="7"/>
  <c r="Q49" i="7"/>
  <c r="R29" i="7"/>
  <c r="N152" i="5"/>
  <c r="N162" i="5"/>
  <c r="N166" i="5" s="1"/>
  <c r="N170" i="5" s="1"/>
  <c r="M162" i="5"/>
  <c r="L156" i="5"/>
  <c r="Q51" i="7"/>
  <c r="L152" i="5"/>
  <c r="N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L167" i="5" s="1"/>
  <c r="L171" i="5" s="1"/>
  <c r="O149" i="5"/>
  <c r="O153" i="5" s="1"/>
  <c r="N149" i="5"/>
  <c r="M149" i="5"/>
  <c r="M153" i="5" s="1"/>
  <c r="N140" i="4"/>
  <c r="P140" i="4"/>
  <c r="O140" i="4"/>
  <c r="R41" i="7"/>
  <c r="R49" i="7"/>
  <c r="S29" i="7"/>
  <c r="N163" i="5"/>
  <c r="P163" i="5"/>
  <c r="P167" i="5" s="1"/>
  <c r="P171" i="5" s="1"/>
  <c r="M163" i="5"/>
  <c r="R51" i="7"/>
  <c r="O123" i="5"/>
  <c r="O126" i="5"/>
  <c r="P123" i="5"/>
  <c r="P126" i="5"/>
  <c r="N123" i="5"/>
  <c r="N126" i="5"/>
  <c r="L157" i="5"/>
  <c r="P157" i="5"/>
  <c r="S41" i="7"/>
  <c r="S49" i="7"/>
  <c r="T29" i="7"/>
  <c r="S51" i="7"/>
  <c r="P130" i="5"/>
  <c r="T41" i="7"/>
  <c r="T49" i="7"/>
  <c r="U29" i="7"/>
  <c r="U41" i="7"/>
  <c r="U49" i="7"/>
  <c r="U51" i="7"/>
  <c r="T51" i="7"/>
  <c r="I3" i="4"/>
  <c r="I3" i="7"/>
  <c r="I3" i="5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M157" i="5" l="1"/>
  <c r="M167" i="5"/>
  <c r="M171" i="5" s="1"/>
  <c r="O163" i="5"/>
  <c r="O167" i="5" s="1"/>
  <c r="O171" i="5" s="1"/>
  <c r="N157" i="5"/>
  <c r="N167" i="5" s="1"/>
  <c r="N171" i="5" s="1"/>
  <c r="P175" i="5" s="1"/>
  <c r="P203" i="5" s="1"/>
  <c r="P19" i="8" s="1"/>
  <c r="O157" i="5"/>
  <c r="O152" i="5"/>
  <c r="O156" i="5"/>
  <c r="M156" i="5"/>
  <c r="M166" i="5" s="1"/>
  <c r="M170" i="5" s="1"/>
  <c r="O162" i="5"/>
  <c r="P162" i="5"/>
  <c r="P166" i="5" s="1"/>
  <c r="P170" i="5" s="1"/>
  <c r="G84" i="5"/>
  <c r="G85" i="5" s="1"/>
  <c r="G87" i="5" s="1"/>
  <c r="G88" i="5" s="1"/>
  <c r="G94" i="5" s="1"/>
  <c r="G102" i="5" s="1"/>
  <c r="M106" i="5" s="1"/>
  <c r="M110" i="5" s="1"/>
  <c r="N32" i="5"/>
  <c r="O32" i="5"/>
  <c r="P30" i="5"/>
  <c r="P32" i="5"/>
  <c r="G77" i="5"/>
  <c r="G78" i="5" s="1"/>
  <c r="G80" i="5" s="1"/>
  <c r="G81" i="5" s="1"/>
  <c r="G93" i="5" s="1"/>
  <c r="G101" i="5" s="1"/>
  <c r="L32" i="5"/>
  <c r="O106" i="5" l="1"/>
  <c r="O110" i="5" s="1"/>
  <c r="O166" i="5"/>
  <c r="O170" i="5" s="1"/>
  <c r="P174" i="5" s="1"/>
  <c r="P202" i="5" s="1"/>
  <c r="P18" i="8" s="1"/>
  <c r="N106" i="5"/>
  <c r="N110" i="5" s="1"/>
  <c r="L106" i="5"/>
  <c r="L110" i="5" s="1"/>
  <c r="P114" i="5" s="1"/>
  <c r="P198" i="5" s="1"/>
  <c r="P12" i="8" s="1"/>
  <c r="P106" i="5"/>
  <c r="P110" i="5" s="1"/>
  <c r="N105" i="5"/>
  <c r="N109" i="5" s="1"/>
  <c r="P105" i="5"/>
  <c r="P109" i="5" s="1"/>
  <c r="O105" i="5"/>
  <c r="O109" i="5" s="1"/>
  <c r="L105" i="5"/>
  <c r="L109" i="5" s="1"/>
  <c r="M105" i="5"/>
  <c r="M109" i="5" s="1"/>
  <c r="P21" i="8" l="1"/>
  <c r="P41" i="8"/>
  <c r="P113" i="5"/>
  <c r="P197" i="5" s="1"/>
  <c r="P11" i="8" s="1"/>
  <c r="P14" i="8" s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<sst xmlns="http://schemas.openxmlformats.org/spreadsheetml/2006/main" count="708" uniqueCount="375">
  <si>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</si>
  <si>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</si>
  <si>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</si>
  <si>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</si>
  <si>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</si>
  <si>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</si>
  <si>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</si>
  <si>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</si>
  <si>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</si>
  <si>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</si>
  <si>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</si>
  <si>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</si>
  <si>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</si>
  <si>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</si>
  <si>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</si>
  <si>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</si>
  <si>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</si>
  <si>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</si>
  <si>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</si>
  <si>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</si>
  <si>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</si>
  <si>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</si>
  <si>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</si>
  <si>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</si>
  <si>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</si>
  <si>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</si>
  <si>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</si>
  <si>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</si>
  <si>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</si>
  <si>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</si>
  <si>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</si>
  <si>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</si>
  <si>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</si>
  <si>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</si>
  <si>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</si>
  <si>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</si>
  <si>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</si>
  <si>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</si>
  <si>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</si>
  <si>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</si>
  <si>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</si>
  <si>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</si>
  <si>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</si>
  <si>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</si>
  <si>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</si>
  <si>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</si>
  <si>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</si>
  <si>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</si>
  <si>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</si>
  <si>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</si>
  <si>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</si>
  <si>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</si>
  <si>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</si>
  <si>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</si>
  <si>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</si>
  <si>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</si>
  <si>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</si>
  <si>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</si>
  <si>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</si>
  <si>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</si>
  <si>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</si>
  <si>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</si>
  <si>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</si>
  <si>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</si>
  <si>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</si>
  <si>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</si>
  <si>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</si>
  <si>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</si>
  <si>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</si>
  <si>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</si>
  <si>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</si>
  <si>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</si>
  <si>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</si>
  <si>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</si>
  <si>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</si>
  <si>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</si>
  <si>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</si>
  <si>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</si>
  <si>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</si>
  <si>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</si>
  <si>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</si>
  <si>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</si>
  <si>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</si>
  <si>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</si>
  <si>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</si>
  <si>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</si>
  <si>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</si>
  <si>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</si>
  <si>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</si>
  <si>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</si>
  <si>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</si>
  <si>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</si>
  <si>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</si>
  <si>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</si>
  <si>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</si>
  <si>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</si>
  <si>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</si>
  <si>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</si>
  <si>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</si>
  <si>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</si>
  <si>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</si>
  <si>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</si>
  <si>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</si>
  <si>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</si>
  <si>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</si>
  <si>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</si>
  <si>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</si>
  <si>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</si>
  <si>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</si>
  <si>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</si>
  <si>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</si>
  <si>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</si>
  <si>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</si>
  <si>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</si>
  <si>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</si>
  <si>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</si>
  <si>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</si>
  <si>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</si>
  <si>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</si>
  <si>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</si>
  <si>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</si>
  <si>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</si>
  <si>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</si>
  <si>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</si>
  <si>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</si>
  <si>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</si>
  <si>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</si>
  <si>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</si>
  <si>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</si>
  <si>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</si>
  <si>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</si>
  <si>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</si>
  <si>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</si>
  <si>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</si>
  <si>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</si>
  <si>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</si>
  <si>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</si>
  <si>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</si>
  <si>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</si>
  <si>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</si>
  <si>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</si>
  <si>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</si>
  <si>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</si>
  <si>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</si>
  <si>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</si>
  <si>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</si>
  <si>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</si>
  <si>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</si>
  <si>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</si>
  <si>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</si>
  <si>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</si>
  <si>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</si>
  <si>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</si>
  <si>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</si>
  <si>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</si>
  <si>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</si>
  <si>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</si>
  <si>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</si>
  <si>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</si>
  <si>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</si>
  <si>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</si>
  <si>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</si>
  <si>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</si>
  <si>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</si>
  <si>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</si>
  <si>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</si>
  <si>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</si>
  <si>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</si>
  <si>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</si>
  <si>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</si>
  <si>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</si>
  <si>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</si>
  <si>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</si>
  <si>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</si>
  <si>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</si>
  <si>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</si>
  <si>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</si>
  <si>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</si>
  <si>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</si>
  <si>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</si>
  <si>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</si>
  <si>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</si>
  <si>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</si>
  <si>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</si>
  <si>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</si>
  <si>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</si>
  <si>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</si>
  <si>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</si>
  <si>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</si>
  <si>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</si>
  <si>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</si>
  <si>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</si>
  <si>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</si>
  <si>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</si>
  <si>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</si>
  <si>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</si>
  <si>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</si>
  <si>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</si>
  <si>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</si>
  <si>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</si>
  <si>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</si>
  <si>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</si>
  <si>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</si>
  <si>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</si>
  <si>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</si>
  <si>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</si>
  <si>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</si>
  <si>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</si>
  <si>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</si>
  <si>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</si>
  <si>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</si>
  <si>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</si>
  <si>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</si>
  <si>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</si>
  <si>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</si>
  <si>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</si>
  <si>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</si>
  <si>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</si>
  <si>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</si>
  <si>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</si>
  <si>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</si>
  <si>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</si>
  <si>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</si>
  <si>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</si>
  <si>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</si>
  <si>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</si>
  <si>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</si>
  <si>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</si>
  <si>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</si>
  <si>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</si>
  <si>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</si>
  <si>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</si>
  <si>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</si>
  <si>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</si>
  <si>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</si>
  <si>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</si>
  <si>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</si>
  <si>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</si>
  <si>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</si>
  <si>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</si>
  <si>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</si>
  <si>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</si>
  <si>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</si>
  <si>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</si>
  <si>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</si>
  <si>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</si>
  <si>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</si>
  <si>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</si>
  <si>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</si>
  <si>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</si>
  <si>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</si>
  <si>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</si>
  <si>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</si>
  <si>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</si>
  <si>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</si>
  <si>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</si>
  <si>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</si>
  <si>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</si>
  <si>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</si>
  <si>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</si>
  <si>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</si>
  <si>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</si>
  <si>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</si>
  <si>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</si>
  <si>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</si>
  <si>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</si>
  <si>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</si>
  <si>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</si>
  <si>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</si>
  <si>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</si>
  <si>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</si>
  <si>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</si>
  <si>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</si>
  <si>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</si>
  <si>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</si>
  <si>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</si>
  <si>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</si>
  <si>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</si>
  <si>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</si>
  <si>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</si>
  <si>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</si>
  <si>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</si>
  <si>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</si>
  <si>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</si>
  <si>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</si>
  <si>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</si>
  <si>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</si>
  <si>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</si>
  <si>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</si>
  <si>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</si>
  <si>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</si>
  <si>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</si>
  <si>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</si>
  <si>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</si>
  <si>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</si>
  <si>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</si>
  <si>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</si>
  <si>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</si>
  <si>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</si>
  <si>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</si>
  <si>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</si>
  <si>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</si>
  <si>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</si>
  <si>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</si>
  <si>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</si>
  <si>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</si>
  <si>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</si>
  <si>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</si>
  <si>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</si>
  <si>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</si>
  <si>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</si>
  <si>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</si>
  <si>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</si>
  <si>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</si>
  <si>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</si>
  <si>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</si>
  <si>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</si>
  <si>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</si>
  <si>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</si>
  <si>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</si>
  <si>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</si>
  <si>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</si>
  <si>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</si>
  <si>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</si>
  <si>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</si>
  <si>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</si>
  <si>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</si>
  <si>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</si>
  <si>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</si>
  <si>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</si>
  <si>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</si>
  <si>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</si>
  <si>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</si>
  <si>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</si>
  <si>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</si>
  <si>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</si>
  <si>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</si>
  <si>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</si>
  <si>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</si>
  <si>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</si>
  <si>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</si>
  <si>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</si>
  <si>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</si>
  <si>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</si>
  <si>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</si>
  <si>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</si>
  <si>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</si>
  <si>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</si>
  <si>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</si>
  <si>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</si>
  <si>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</si>
  <si>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</si>
  <si>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</si>
  <si>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</si>
  <si>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</si>
  <si>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</si>
  <si>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</si>
  <si>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</si>
  <si>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</si>
  <si>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</si>
  <si>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</si>
  <si>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</si>
  <si>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</si>
  <si>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</si>
  <si>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</si>
  <si>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</si>
  <si>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</si>
  <si>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</si>
  <si>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</si>
  <si>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</si>
  <si>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</si>
  <si>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</si>
  <si>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</si>
  <si>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NES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</si>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</sst>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  <numFmt numFmtId="181" formatCode="#,##0.0%_);\(#,##0.0%\);\-_)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7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  <xf numFmtId="165" fontId="2" fillId="46" borderId="5" xfId="7" applyNumberFormat="1" applyFont="1" applyFill="1" applyAlignment="1" applyProtection="1">
      <alignment horizontal="right"/>
    </xf>
    <xf numFmtId="181" fontId="77" fillId="8" borderId="5" xfId="7" applyNumberFormat="1" applyFont="1" applyFill="1" applyProtection="1">
      <protection locked="0"/>
    </xf>
    <xf numFmtId="0" fontId="2" fillId="30" borderId="2" xfId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left" vertical="center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890218\AppData\Local\Temp\notesF3B52A\PR09%20Legacy%20Blind%20Year%2020150619%20v3.0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tabSelected="1" zoomScale="90" zoomScaleNormal="90" workbookViewId="0">
      <pane xSplit="7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H11" sqref="H11"/>
    </sheetView>
  </sheetViews>
  <sheetFormatPr defaultColWidth="0" defaultRowHeight="12.75" zeroHeight="1"/>
  <cols>
    <col min="1" max="2" width="3.140625" style="49" customWidth="1"/>
    <col min="3" max="3" width="3.140625" style="194" customWidth="1"/>
    <col min="4" max="4" width="10" style="49" customWidth="1"/>
    <col min="5" max="5" width="114.5703125" style="74" customWidth="1"/>
    <col min="6" max="6" width="6" style="49" customWidth="1"/>
    <col min="7" max="7" width="10.140625" style="49" customWidth="1"/>
    <col min="8" max="8" width="12.140625" style="49" customWidth="1"/>
    <col min="9" max="16" width="14.5703125" style="49" customWidth="1"/>
    <col min="17" max="21" width="13.5703125" style="49" customWidth="1"/>
    <col min="22" max="22" width="10.5703125" style="50" customWidth="1"/>
    <col min="23" max="24" width="9.140625" style="31" customWidth="1"/>
    <col min="25" max="25" width="9.140625" style="31" hidden="1" customWidth="1"/>
    <col min="26" max="27" width="13.140625" style="31" hidden="1" customWidth="1"/>
    <col min="28" max="16384" width="9.140625" style="31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5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0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5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5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5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f>1285.5/1307.7*100</f>
        <v>98.302362927276903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f>983.5/999.9*100</f>
        <v>98.359835983598359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3.5649999999999999</v>
      </c>
      <c r="M26" s="37">
        <v>3.5649999999999999</v>
      </c>
      <c r="N26" s="37">
        <v>3.5649999999999999</v>
      </c>
      <c r="O26" s="37">
        <v>3.5649999999999999</v>
      </c>
      <c r="P26" s="37">
        <v>3.5649999999999999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2.2732000000000001</v>
      </c>
      <c r="M27" s="37">
        <v>2.2732000000000001</v>
      </c>
      <c r="N27" s="37">
        <v>2.2732000000000001</v>
      </c>
      <c r="O27" s="37">
        <v>2.2732000000000001</v>
      </c>
      <c r="P27" s="37">
        <v>2.2732000000000001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5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94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94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5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5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5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258.82257524654</v>
      </c>
      <c r="M40" s="37">
        <v>273.25799623828601</v>
      </c>
      <c r="N40" s="37">
        <v>282.58125925319598</v>
      </c>
      <c r="O40" s="37">
        <v>253.75122622329499</v>
      </c>
      <c r="P40" s="37">
        <v>239.312100638494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205.32406113918799</v>
      </c>
      <c r="M41" s="37">
        <v>207.27862573636901</v>
      </c>
      <c r="N41" s="37">
        <v>213.115269471929</v>
      </c>
      <c r="O41" s="37">
        <v>201.76208990399601</v>
      </c>
      <c r="P41" s="37">
        <v>172.39984462418701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305"/>
      <c r="M43" s="305"/>
      <c r="N43" s="305"/>
      <c r="O43" s="305"/>
      <c r="P43" s="305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263.40205409454398</v>
      </c>
      <c r="M46" s="37">
        <v>277.60821974186098</v>
      </c>
      <c r="N46" s="37">
        <v>286.89678039328601</v>
      </c>
      <c r="O46" s="37">
        <v>258.20677328552398</v>
      </c>
      <c r="P46" s="37">
        <v>243.82994102466199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207.667566332116</v>
      </c>
      <c r="M47" s="37">
        <v>209.46712039244301</v>
      </c>
      <c r="N47" s="37">
        <v>215.24984337869199</v>
      </c>
      <c r="O47" s="37">
        <v>203.91319338745399</v>
      </c>
      <c r="P47" s="37">
        <v>174.641285572187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5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306"/>
      <c r="M49" s="306"/>
      <c r="N49" s="306"/>
      <c r="O49" s="306"/>
      <c r="P49" s="306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v>282.322</v>
      </c>
      <c r="M52" s="37">
        <v>277.32</v>
      </c>
      <c r="N52" s="303">
        <v>344.34100000000007</v>
      </c>
      <c r="O52" s="303">
        <v>352.32300000000004</v>
      </c>
      <c r="P52" s="303">
        <v>357.89300000000003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174.756</v>
      </c>
      <c r="M53" s="37">
        <v>168.74199999999999</v>
      </c>
      <c r="N53" s="303">
        <v>174.43200000000002</v>
      </c>
      <c r="O53" s="303">
        <v>182.79400000000004</v>
      </c>
      <c r="P53" s="303">
        <v>183.64600000000002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5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5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5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v>13.818999999999999</v>
      </c>
      <c r="M60" s="37">
        <v>7.0940000000000003</v>
      </c>
      <c r="N60" s="303">
        <v>8.1319999999999997</v>
      </c>
      <c r="O60" s="303">
        <v>8.3759999999999994</v>
      </c>
      <c r="P60" s="303">
        <v>8.6270000000000007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v>0</v>
      </c>
      <c r="M61" s="37">
        <v>0</v>
      </c>
      <c r="N61" s="37"/>
      <c r="O61" s="37"/>
      <c r="P61" s="37"/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v>5.5819999999999999</v>
      </c>
      <c r="M62" s="37">
        <v>5.7969999999999997</v>
      </c>
      <c r="N62" s="303">
        <v>6.213000000000001</v>
      </c>
      <c r="O62" s="303">
        <v>6.4025593624494599</v>
      </c>
      <c r="P62" s="303">
        <v>6.5946361433229441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/>
      <c r="M63" s="37"/>
      <c r="N63" s="37"/>
      <c r="O63" s="37"/>
      <c r="P63" s="37"/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0.223</v>
      </c>
      <c r="M64" s="37">
        <v>0.36699999999999999</v>
      </c>
      <c r="N64" s="37">
        <v>0.28799999999999998</v>
      </c>
      <c r="O64" s="37">
        <v>0.32600000000000001</v>
      </c>
      <c r="P64" s="37">
        <v>0.32600000000000001</v>
      </c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3.7069999999999999</v>
      </c>
      <c r="M66" s="37">
        <v>0.69899999999999995</v>
      </c>
      <c r="N66" s="303">
        <v>0.30200000000000005</v>
      </c>
      <c r="O66" s="303">
        <v>0.311</v>
      </c>
      <c r="P66" s="303">
        <v>0.32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</v>
      </c>
      <c r="M67" s="37">
        <v>0</v>
      </c>
      <c r="N67" s="37"/>
      <c r="O67" s="37"/>
      <c r="P67" s="37"/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2.8149999999999999</v>
      </c>
      <c r="M68" s="37">
        <v>2.8090000000000002</v>
      </c>
      <c r="N68" s="303">
        <v>2.7129999999999996</v>
      </c>
      <c r="O68" s="303">
        <v>2.7934491446746099</v>
      </c>
      <c r="P68" s="303">
        <v>2.8772526190148482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/>
      <c r="M69" s="37"/>
      <c r="N69" s="37"/>
      <c r="O69" s="37"/>
      <c r="P69" s="37"/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</v>
      </c>
      <c r="M70" s="37">
        <v>0.29799999999999999</v>
      </c>
      <c r="N70" s="37">
        <v>2.8940000000000001</v>
      </c>
      <c r="O70" s="37">
        <v>0.02</v>
      </c>
      <c r="P70" s="37">
        <v>0.02</v>
      </c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/>
      <c r="M71" s="37"/>
      <c r="N71" s="37"/>
      <c r="O71" s="37"/>
      <c r="P71" s="37"/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/>
      <c r="M72" s="37"/>
      <c r="N72" s="37"/>
      <c r="O72" s="37"/>
      <c r="P72" s="37"/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/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3.7299999999999995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5"/>
    <row r="81" spans="1:24" s="23" customFormat="1" ht="15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5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5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5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 ht="15">
      <c r="D125" s="49" t="s">
        <v>72</v>
      </c>
      <c r="E125" s="74" t="s">
        <v>73</v>
      </c>
      <c r="F125" s="35"/>
      <c r="L125" s="304">
        <v>0.61531000000000002</v>
      </c>
      <c r="M125" s="304">
        <v>0.67623</v>
      </c>
      <c r="N125" s="304">
        <v>0.66764999999999997</v>
      </c>
      <c r="O125" s="304">
        <v>0.74139999999999995</v>
      </c>
      <c r="P125" s="304">
        <v>0.78740999999999906</v>
      </c>
      <c r="Q125" s="75" t="s">
        <v>74</v>
      </c>
    </row>
    <row r="126" spans="1:27" ht="15">
      <c r="D126" s="49" t="s">
        <v>72</v>
      </c>
      <c r="E126" s="74" t="s">
        <v>75</v>
      </c>
      <c r="F126" s="35"/>
      <c r="L126" s="304">
        <v>0.48623</v>
      </c>
      <c r="M126" s="304">
        <v>0.52254</v>
      </c>
      <c r="N126" s="304">
        <v>0.50516000000000005</v>
      </c>
      <c r="O126" s="304">
        <v>0.52473000000000003</v>
      </c>
      <c r="P126" s="304">
        <v>0.60924999999999996</v>
      </c>
      <c r="Q126" s="75" t="s">
        <v>76</v>
      </c>
    </row>
    <row r="127" spans="1:27"/>
    <row r="128" spans="1:27" s="23" customFormat="1" ht="15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>
        <v>0.75</v>
      </c>
    </row>
    <row r="131" spans="1:24">
      <c r="D131" s="3" t="s">
        <v>58</v>
      </c>
      <c r="E131" s="74" t="s">
        <v>231</v>
      </c>
      <c r="F131" s="31"/>
      <c r="H131" s="69">
        <f>EffInc.Coeff.Water</f>
        <v>0.51200000000000001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0.98499999999999999</v>
      </c>
    </row>
    <row r="133" spans="1:24" ht="15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/>
      <c r="O134" s="227"/>
      <c r="P134" s="227"/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5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/>
      <c r="O137" s="227"/>
      <c r="P137" s="227"/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5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/>
      <c r="M146" s="45"/>
      <c r="N146" s="45"/>
      <c r="O146" s="45"/>
      <c r="P146" s="45"/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5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/>
      <c r="M151" s="45"/>
      <c r="N151" s="45"/>
      <c r="O151" s="45"/>
      <c r="P151" s="45"/>
      <c r="Q151" s="75"/>
      <c r="R151" s="31"/>
      <c r="S151" s="31"/>
      <c r="T151" s="31"/>
      <c r="U151" s="31"/>
      <c r="V151" s="31"/>
    </row>
    <row r="152" spans="1:27" ht="13.5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5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sheetProtection algorithmName="SHA-512" hashValue="tckTLdRdiNuDRT7k1rZe4tcQi5A4NvLdTXBAy6vmPcm5Cey/uV1aCdk1dhZeo0qAOhVbWKIsGuw/rEiVxLk6yg==" saltValue="IiP9OY7kvqwdpCShVtdX4g==" spinCount="100000" sheet="1" objects="1" scenarios="1"/>
  <conditionalFormatting sqref="K12:K13">
    <cfRule type="cellIs" dxfId="2" priority="1" operator="equal">
      <formula>TRUE</formula>
    </cfRule>
  </conditionalFormatting>
  <dataValidations disablePrompts="1"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80" zoomScaleNormal="80" workbookViewId="0">
      <pane xSplit="6" ySplit="7" topLeftCell="G8" activePane="bottomRight" state="frozen"/>
      <selection activeCell="K53" sqref="K53"/>
      <selection pane="topRight" activeCell="K53" sqref="K53"/>
      <selection pane="bottomLeft" activeCell="K53" sqref="K53"/>
      <selection pane="bottomRight" activeCell="L14" sqref="L14"/>
    </sheetView>
  </sheetViews>
  <sheetFormatPr defaultColWidth="0" defaultRowHeight="12.75" zeroHeight="1"/>
  <cols>
    <col min="1" max="3" width="2.5703125" style="3" customWidth="1"/>
    <col min="4" max="4" width="9.42578125" style="246" bestFit="1" customWidth="1"/>
    <col min="5" max="5" width="75.140625" style="129" customWidth="1"/>
    <col min="6" max="6" width="20.42578125" style="129" customWidth="1"/>
    <col min="7" max="7" width="14.5703125" style="129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119" customWidth="1"/>
    <col min="23" max="23" width="106.140625" style="118" bestFit="1" customWidth="1"/>
    <col min="24" max="24" width="3.5703125" style="130" customWidth="1"/>
    <col min="25" max="25" width="13.5703125" style="118" hidden="1" customWidth="1"/>
    <col min="26" max="38" width="9.140625" style="118" hidden="1" customWidth="1"/>
    <col min="39" max="39" width="10.140625" style="118" hidden="1" customWidth="1"/>
    <col min="40" max="16384" width="9.140625" style="118" hidden="1"/>
  </cols>
  <sheetData>
    <row r="1" spans="1:29" s="2" customFormat="1" ht="33.75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5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5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266.26159309469352</v>
      </c>
      <c r="M14" s="56">
        <f>Actual.Totex.Water/Indexation.Average</f>
        <v>256.05747023275683</v>
      </c>
      <c r="N14" s="56">
        <f>Actual.Totex.Water/Indexation.Average</f>
        <v>306.47170185292686</v>
      </c>
      <c r="O14" s="56">
        <f>Actual.Totex.Water/Indexation.Average</f>
        <v>304.44259437656876</v>
      </c>
      <c r="P14" s="56">
        <f>Actual.Totex.Water/Indexation.Average</f>
        <v>300.24819025484737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164.81468310247257</v>
      </c>
      <c r="M15" s="56">
        <f>Actual.Totex.Sewerage/Indexation.Average</f>
        <v>155.8043042045862</v>
      </c>
      <c r="N15" s="56">
        <f>Actual.Totex.Sewerage/Indexation.Average</f>
        <v>155.24863985877295</v>
      </c>
      <c r="O15" s="56">
        <f>Actual.Totex.Sewerage/Indexation.Average</f>
        <v>157.9524458989919</v>
      </c>
      <c r="P15" s="56">
        <f>Actual.Totex.Sewerage/Indexation.Average</f>
        <v>154.0666600004518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18.507652619669262</v>
      </c>
      <c r="M18" s="56">
        <f>SUM(INDEX(Actual.Exclusions.Water,,M6))/Indexation.Average</f>
        <v>12.241489760370293</v>
      </c>
      <c r="N18" s="56">
        <f>SUM(INDEX(Actual.Exclusions.Water,,N6))/Indexation.Average</f>
        <v>13.023718968156212</v>
      </c>
      <c r="O18" s="56">
        <f>SUM(INDEX(Actual.Exclusions.Water,,O6))/Indexation.Average</f>
        <v>13.051862181063981</v>
      </c>
      <c r="P18" s="56">
        <f>SUM(INDEX(Actual.Exclusions.Water,,P6))/Indexation.Average</f>
        <v>13.043422516711891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6.1509840188281153</v>
      </c>
      <c r="M19" s="298">
        <f>SUM(Inputs!M66:M72)/Indexation.Average</f>
        <v>3.5141884166517832</v>
      </c>
      <c r="N19" s="298">
        <f>SUM(Inputs!N66:N72)/Indexation.Average</f>
        <v>5.2591509179823035</v>
      </c>
      <c r="O19" s="298">
        <f>SUM(Inputs!O66:O72)/Indexation.Average</f>
        <v>2.6998390783525044</v>
      </c>
      <c r="P19" s="298">
        <f>SUM(Inputs!P66:P72)/Indexation.Average</f>
        <v>2.6990588708129972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0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3.7299999999999995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247.75394047502425</v>
      </c>
      <c r="M30" s="298">
        <f t="shared" ref="M30:P30" si="2">M14-M18+M22</f>
        <v>243.81598047238654</v>
      </c>
      <c r="N30" s="298">
        <f t="shared" si="2"/>
        <v>293.44798288477062</v>
      </c>
      <c r="O30" s="298">
        <f t="shared" si="2"/>
        <v>291.39073219550477</v>
      </c>
      <c r="P30" s="298">
        <f t="shared" si="2"/>
        <v>287.2047677381355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162.39369908364444</v>
      </c>
      <c r="M31" s="298">
        <f t="shared" ref="M31:P31" si="3">M15-M19+M23</f>
        <v>152.29011578793441</v>
      </c>
      <c r="N31" s="298">
        <f t="shared" si="3"/>
        <v>149.98948894079064</v>
      </c>
      <c r="O31" s="298">
        <f t="shared" si="3"/>
        <v>155.25260682063939</v>
      </c>
      <c r="P31" s="298">
        <f t="shared" si="3"/>
        <v>151.36760112963881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410.14763955866869</v>
      </c>
      <c r="M32" s="114">
        <f>SUM(M30:M31)</f>
        <v>396.10609626032095</v>
      </c>
      <c r="N32" s="114">
        <f t="shared" ref="N32:P32" si="4">SUM(N30:N31)</f>
        <v>443.43747182556126</v>
      </c>
      <c r="O32" s="114">
        <f t="shared" si="4"/>
        <v>446.64333901614418</v>
      </c>
      <c r="P32" s="114">
        <f t="shared" si="4"/>
        <v>438.57236886777434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5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5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5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0.50339527414544616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99.575590731819233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0.21076364827504523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0.5032803280328032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99.589958995899593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0.20367543304985691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5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0.51200000000000001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98.5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0.73200000000000021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0.51200000000000001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98.5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0.73200000000000021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5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5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1.0427369970220559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104.27369970220559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-2.2241342475292623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-2.2241342475292622E-2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0.77138616227912016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77.13861622791201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11.669028491309053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0.11669028491309053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5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-29.085563093733413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116.67626934515168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0.54550390214903188</v>
      </c>
      <c r="M97" s="211">
        <f>FD.AddInc.Coeff.Water/100*Baseline.Totex.Water</f>
        <v>0.57592852207509748</v>
      </c>
      <c r="N97" s="211">
        <f>FD.AddInc.Coeff.Water/100*Baseline.Totex.Water</f>
        <v>0.59557857134359971</v>
      </c>
      <c r="O97" s="211">
        <f>FD.AddInc.Coeff.Water/100*Baseline.Totex.Water</f>
        <v>0.53481534193087987</v>
      </c>
      <c r="P97" s="211">
        <f>FD.AddInc.Coeff.Water/100*Baseline.Totex.Water</f>
        <v>0.50438291406933777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0.41819467068079408</v>
      </c>
      <c r="M98" s="211">
        <f>FD.AddInc.Coeff.Sewerage/100*Baseline.Totex.Sewerage</f>
        <v>0.42217563858834173</v>
      </c>
      <c r="N98" s="211">
        <f>FD.AddInc.Coeff.Sewerage/100*Baseline.Totex.Sewerage</f>
        <v>0.43406344799232088</v>
      </c>
      <c r="O98" s="211">
        <f>FD.AddInc.Coeff.Sewerage/100*Baseline.Totex.Sewerage</f>
        <v>0.41093981034240551</v>
      </c>
      <c r="P98" s="211">
        <f>FD.AddInc.Coeff.Sewerage/100*Baseline.Totex.Sewerage</f>
        <v>0.35113613011559336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-31.841772345301358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114.63975964743223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-6.3020654385445223</v>
      </c>
      <c r="M105" s="211">
        <f>IF(SUM(Baseline.Totex.Water)=0,0,$G101*(Baseline.Totex.Water/SUM(Baseline.Totex.Water)))</f>
        <v>-6.6535532005230396</v>
      </c>
      <c r="N105" s="211">
        <f>IF(SUM(Baseline.Totex.Water)=0,0,$G101*(Baseline.Totex.Water/SUM(Baseline.Totex.Water)))</f>
        <v>-6.8805651354933834</v>
      </c>
      <c r="O105" s="211">
        <f>IF(SUM(Baseline.Totex.Water)=0,0,$G101*(Baseline.Totex.Water/SUM(Baseline.Totex.Water)))</f>
        <v>-6.1785832678886381</v>
      </c>
      <c r="P105" s="211">
        <f>IF(SUM(Baseline.Totex.Water)=0,0,$G101*(Baseline.Totex.Water/SUM(Baseline.Totex.Water)))</f>
        <v>-5.8270053028517763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23.54112852316387</v>
      </c>
      <c r="M106" s="211">
        <f>IF(SUM(Baseline.Totex.Sewerage)=0,0,$G102*(Baseline.Totex.Sewerage/SUM(Baseline.Totex.Sewerage)))</f>
        <v>23.765226254982416</v>
      </c>
      <c r="N106" s="211">
        <f>IF(SUM(Baseline.Totex.Sewerage)=0,0,$G102*(Baseline.Totex.Sewerage/SUM(Baseline.Totex.Sewerage)))</f>
        <v>24.434418066017138</v>
      </c>
      <c r="O106" s="211">
        <f>IF(SUM(Baseline.Totex.Sewerage)=0,0,$G102*(Baseline.Totex.Sewerage/SUM(Baseline.Totex.Sewerage)))</f>
        <v>23.132735945215476</v>
      </c>
      <c r="P106" s="211">
        <f>IF(SUM(Baseline.Totex.Sewerage)=0,0,$G102*(Baseline.Totex.Sewerage/SUM(Baseline.Totex.Sewerage)))</f>
        <v>19.766250858053326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-7.2597544242554033</v>
      </c>
      <c r="M109" s="211">
        <f>M105*(1+WACC)^Calcs!M7</f>
        <v>-7.3983163892012858</v>
      </c>
      <c r="N109" s="211">
        <f>N105*(1+WACC)^Calcs!N7</f>
        <v>-7.3848830376645065</v>
      </c>
      <c r="O109" s="211">
        <f>O105*(1+WACC)^Calcs!O7</f>
        <v>-6.4010122655326294</v>
      </c>
      <c r="P109" s="211">
        <f>P105*(1+WACC)^Calcs!P7</f>
        <v>-5.8270053028517763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27.118539725521224</v>
      </c>
      <c r="M110" s="211">
        <f>M106*(1+WACC)^Calcs!M7</f>
        <v>26.425378680596044</v>
      </c>
      <c r="N110" s="211">
        <f>N106*(1+WACC)^Calcs!N7</f>
        <v>26.225363172583929</v>
      </c>
      <c r="O110" s="211">
        <f>O106*(1+WACC)^Calcs!O7</f>
        <v>23.965514439243233</v>
      </c>
      <c r="P110" s="211">
        <f>P106*(1+WACC)^Calcs!P7</f>
        <v>19.766250858053326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-34.270971419505599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123.50104687599776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5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5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257.72410824904955</v>
      </c>
      <c r="M136" s="211">
        <f>Baseline.Totex.Water*(FD.AllExp.Coeff.Water/100)</f>
        <v>272.09826397620566</v>
      </c>
      <c r="N136" s="211">
        <f>Baseline.Totex.Water*(FD.AllExp.Coeff.Water/100)</f>
        <v>281.38195819878348</v>
      </c>
      <c r="O136" s="211">
        <f>Baseline.Totex.Water*(FD.AllExp.Coeff.Water/100)</f>
        <v>252.67428250108097</v>
      </c>
      <c r="P136" s="211">
        <f>Baseline.Totex.Water*(FD.AllExp.Coeff.Water/100)</f>
        <v>238.29643790350613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204.48214829723312</v>
      </c>
      <c r="M137" s="211">
        <f>Baseline.Totex.Sewerage*(FD.AllExp.Coeff.Sewerage/100)</f>
        <v>206.42869837811409</v>
      </c>
      <c r="N137" s="211">
        <f>Baseline.Totex.Sewerage*(FD.AllExp.Coeff.Sewerage/100)</f>
        <v>212.24140948109502</v>
      </c>
      <c r="O137" s="211">
        <f>Baseline.Totex.Sewerage*(FD.AllExp.Coeff.Sewerage/100)</f>
        <v>200.93478260465972</v>
      </c>
      <c r="P137" s="211">
        <f>Baseline.Totex.Sewerage*(FD.AllExp.Coeff.Sewerage/100)</f>
        <v>171.69293457022246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263.40205409454398</v>
      </c>
      <c r="M140" s="211">
        <f>Inputs!M46</f>
        <v>277.60821974186098</v>
      </c>
      <c r="N140" s="211">
        <f>Inputs!N46</f>
        <v>286.89678039328601</v>
      </c>
      <c r="O140" s="211">
        <f>Inputs!O46</f>
        <v>258.20677328552398</v>
      </c>
      <c r="P140" s="211">
        <f>Inputs!P46</f>
        <v>243.82994102466199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207.667566332116</v>
      </c>
      <c r="M141" s="211">
        <f>Inputs!M47</f>
        <v>209.46712039244301</v>
      </c>
      <c r="N141" s="211">
        <f>Inputs!N47</f>
        <v>215.24984337869199</v>
      </c>
      <c r="O141" s="211">
        <f>Inputs!O47</f>
        <v>203.91319338745399</v>
      </c>
      <c r="P141" s="211">
        <f>Inputs!P47</f>
        <v>174.641285572187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5.6779458454944347</v>
      </c>
      <c r="M144" s="211">
        <f t="shared" ref="M144:P144" si="5">M140-M136</f>
        <v>5.5099557656553202</v>
      </c>
      <c r="N144" s="211">
        <f t="shared" si="5"/>
        <v>5.5148221945025284</v>
      </c>
      <c r="O144" s="211">
        <f t="shared" si="5"/>
        <v>5.5324907844430129</v>
      </c>
      <c r="P144" s="211">
        <f t="shared" si="5"/>
        <v>5.5335031211558601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3.185418034882872</v>
      </c>
      <c r="M145" s="211">
        <f t="shared" ref="M145:P145" si="6">M141-M137</f>
        <v>3.0384220143289156</v>
      </c>
      <c r="N145" s="211">
        <f t="shared" si="6"/>
        <v>3.0084338975969729</v>
      </c>
      <c r="O145" s="211">
        <f t="shared" si="6"/>
        <v>2.9784107827942705</v>
      </c>
      <c r="P145" s="211">
        <f t="shared" si="6"/>
        <v>2.9483510019645394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254.94023661784189</v>
      </c>
      <c r="M148" s="211">
        <f>Baseline.Totex.Water*(AllExp.Coeff.Water/100)</f>
        <v>269.15912629471171</v>
      </c>
      <c r="N148" s="211">
        <f>Baseline.Totex.Water*(AllExp.Coeff.Water/100)</f>
        <v>278.34254036439802</v>
      </c>
      <c r="O148" s="211">
        <f>Baseline.Totex.Water*(AllExp.Coeff.Water/100)</f>
        <v>249.94495782994557</v>
      </c>
      <c r="P148" s="211">
        <f>Baseline.Totex.Water*(AllExp.Coeff.Water/100)</f>
        <v>235.72241912891658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202.24420022210018</v>
      </c>
      <c r="M149" s="211">
        <f>Baseline.Totex.Sewerage*(AllExp.Coeff.Sewerage/100)</f>
        <v>204.16944635032348</v>
      </c>
      <c r="N149" s="211">
        <f>Baseline.Totex.Sewerage*(AllExp.Coeff.Sewerage/100)</f>
        <v>209.91854042985005</v>
      </c>
      <c r="O149" s="211">
        <f>Baseline.Totex.Sewerage*(AllExp.Coeff.Sewerage/100)</f>
        <v>198.73565855543606</v>
      </c>
      <c r="P149" s="211">
        <f>Baseline.Totex.Sewerage*(AllExp.Coeff.Sewerage/100)</f>
        <v>169.81384695482421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260.61818246333632</v>
      </c>
      <c r="M152" s="211">
        <f t="shared" ref="M152:P152" si="7">M148+M144</f>
        <v>274.66908206036703</v>
      </c>
      <c r="N152" s="211">
        <f t="shared" si="7"/>
        <v>283.85736255890055</v>
      </c>
      <c r="O152" s="211">
        <f t="shared" si="7"/>
        <v>255.47744861438858</v>
      </c>
      <c r="P152" s="211">
        <f t="shared" si="7"/>
        <v>241.25592225007244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205.42961825698305</v>
      </c>
      <c r="M153" s="211">
        <f t="shared" ref="M153:P153" si="8">M149+M145</f>
        <v>207.2078683646524</v>
      </c>
      <c r="N153" s="211">
        <f t="shared" si="8"/>
        <v>212.92697432744703</v>
      </c>
      <c r="O153" s="211">
        <f t="shared" si="8"/>
        <v>201.71406933823033</v>
      </c>
      <c r="P153" s="211">
        <f t="shared" si="8"/>
        <v>172.76219795678875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-2.7838716312076599</v>
      </c>
      <c r="M156" s="211">
        <f t="shared" si="9"/>
        <v>-2.9391376814939463</v>
      </c>
      <c r="N156" s="211">
        <f t="shared" si="9"/>
        <v>-3.0394178343854605</v>
      </c>
      <c r="O156" s="211">
        <f t="shared" si="9"/>
        <v>-2.7293246711354016</v>
      </c>
      <c r="P156" s="211">
        <f t="shared" si="9"/>
        <v>-2.5740187745895469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-2.2379480751329481</v>
      </c>
      <c r="M157" s="211">
        <f t="shared" si="9"/>
        <v>-2.259252027790609</v>
      </c>
      <c r="N157" s="211">
        <f t="shared" si="9"/>
        <v>-2.3228690512449646</v>
      </c>
      <c r="O157" s="211">
        <f t="shared" si="9"/>
        <v>-2.1991240492236557</v>
      </c>
      <c r="P157" s="211">
        <f t="shared" si="9"/>
        <v>-1.8790876153982481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5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-7.1862961428176391</v>
      </c>
      <c r="M162" s="295">
        <f>(Actual.Totex.Water-SUM(Inputs!M60:M64))/Indexation.Average-M148</f>
        <v>-25.34314582232517</v>
      </c>
      <c r="N162" s="295">
        <f>(Actual.Totex.Water-SUM(Inputs!N60:N64))/Indexation.Average-N148</f>
        <v>15.105442520372662</v>
      </c>
      <c r="O162" s="295">
        <f>(Actual.Totex.Water-SUM(Inputs!O60:O64))/Indexation.Average-O148</f>
        <v>41.445774365559259</v>
      </c>
      <c r="P162" s="295">
        <f>(Actual.Totex.Water-SUM(Inputs!P60:P64))/Indexation.Average-P148</f>
        <v>51.48234860921886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-39.850501138455712</v>
      </c>
      <c r="M163" s="295">
        <f>(Actual.Totex.Sewerage-SUM(Inputs!M66:M72))/Indexation.Average-M149</f>
        <v>-51.879330562389072</v>
      </c>
      <c r="N163" s="295">
        <f>(Actual.Totex.Sewerage-SUM(Inputs!N66:N72))/Indexation.Average-N149</f>
        <v>-59.929051489059418</v>
      </c>
      <c r="O163" s="295">
        <f>(Actual.Totex.Sewerage-SUM(Inputs!O66:O72))/Indexation.Average-O149</f>
        <v>-43.483051734796675</v>
      </c>
      <c r="P163" s="295">
        <f>(Actual.Totex.Sewerage-SUM(Inputs!P66:P72))/Indexation.Average-P149</f>
        <v>-18.446245825185429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-9.970167774025299</v>
      </c>
      <c r="M166" s="211">
        <f t="shared" ref="L166:P167" si="10">M162+M156</f>
        <v>-28.282283503819116</v>
      </c>
      <c r="N166" s="211">
        <f t="shared" si="10"/>
        <v>12.066024685987202</v>
      </c>
      <c r="O166" s="211">
        <f t="shared" si="10"/>
        <v>38.716449694423858</v>
      </c>
      <c r="P166" s="211">
        <f t="shared" si="10"/>
        <v>48.908329834629313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-42.08844921358866</v>
      </c>
      <c r="M167" s="211">
        <f t="shared" si="10"/>
        <v>-54.138582590179681</v>
      </c>
      <c r="N167" s="211">
        <f t="shared" si="10"/>
        <v>-62.251920540304383</v>
      </c>
      <c r="O167" s="211">
        <f t="shared" si="10"/>
        <v>-45.68217578402033</v>
      </c>
      <c r="P167" s="211">
        <f t="shared" si="10"/>
        <v>-20.325333440583677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-11.48527737673974</v>
      </c>
      <c r="M170" s="211">
        <f>M166*(1+WACC)^Calcs!M7</f>
        <v>-31.448051178713584</v>
      </c>
      <c r="N170" s="211">
        <f>N166*(1+WACC)^Calcs!N7</f>
        <v>12.95041603137132</v>
      </c>
      <c r="O170" s="211">
        <f>O166*(1+WACC)^Calcs!O7</f>
        <v>40.110241883423114</v>
      </c>
      <c r="P170" s="211">
        <f>P166*(1+WACC)^Calcs!P7</f>
        <v>48.908329834629313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-48.484391088609051</v>
      </c>
      <c r="M171" s="211">
        <f>M167*(1+WACC)^Calcs!M7</f>
        <v>-60.198566208739038</v>
      </c>
      <c r="N171" s="211">
        <f>N167*(1+WACC)^Calcs!N7</f>
        <v>-66.81473730822654</v>
      </c>
      <c r="O171" s="211">
        <f>O167*(1+WACC)^Calcs!O7</f>
        <v>-47.326734112245063</v>
      </c>
      <c r="P171" s="211">
        <f>P167*(1+WACC)^Calcs!P7</f>
        <v>-20.325333440583677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59.035659193970424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-243.14976215840335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5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5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5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0.69531020819859746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0.52677189775040012</v>
      </c>
      <c r="H193" s="126" t="s">
        <v>126</v>
      </c>
    </row>
    <row r="194" spans="1:24"/>
    <row r="195" spans="1:24" s="23" customFormat="1" ht="15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6.7771250657954241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-4.5834147737427884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5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17.987562708669405</v>
      </c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-115.06530050866279</v>
      </c>
    </row>
    <row r="204" spans="1:24"/>
    <row r="205" spans="1:24" ht="13.5" thickBot="1"/>
    <row r="206" spans="1:24" s="3" customFormat="1" ht="13.5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sheetProtection algorithmName="SHA-512" hashValue="KYrvv/5tIiGYA73RZvotw7woP8zc+F2jYqspMm9Pydl+GNauG+AF3O3UlMlXkavYjbpcmEtuLOsiK4DtYXlq8Q==" saltValue="1C39XLG1YlkEyxfuHYR5tQ==" spinCount="100000" sheet="1" objects="1" scenarios="1"/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F16" sqref="F16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2.75">
      <c r="V4" s="135"/>
    </row>
    <row r="5" spans="1:24" ht="12.75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2.75"/>
    <row r="8" spans="1:24" ht="12.75"/>
    <row r="9" spans="1:24" s="23" customFormat="1" ht="15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2.75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2.75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6.7771250657954241</v>
      </c>
      <c r="Q11" s="3"/>
      <c r="R11" s="3"/>
      <c r="S11" s="3"/>
      <c r="T11" s="3"/>
      <c r="U11" s="3"/>
      <c r="V11" s="119"/>
      <c r="X11" s="130"/>
    </row>
    <row r="12" spans="1:24" s="118" customFormat="1" ht="12.75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-4.5834147737427884</v>
      </c>
      <c r="Q12" s="3"/>
      <c r="R12" s="3"/>
      <c r="S12" s="3"/>
      <c r="T12" s="3"/>
      <c r="U12" s="3"/>
      <c r="V12" s="119"/>
      <c r="X12" s="130"/>
    </row>
    <row r="13" spans="1:24" s="118" customFormat="1" ht="12.75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2.75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2.1937102920526357</v>
      </c>
      <c r="Q14" s="3"/>
      <c r="R14" s="3"/>
      <c r="S14" s="3"/>
      <c r="T14" s="3"/>
      <c r="U14" s="3"/>
      <c r="V14" s="119"/>
      <c r="X14" s="130"/>
    </row>
    <row r="15" spans="1:24" s="118" customFormat="1" ht="12.75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5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2.75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2.75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17.987562708669405</v>
      </c>
      <c r="Q18" s="3"/>
      <c r="R18" s="3"/>
      <c r="S18" s="3"/>
      <c r="T18" s="3"/>
      <c r="U18" s="3"/>
      <c r="V18" s="119"/>
      <c r="X18" s="130"/>
    </row>
    <row r="19" spans="1:24" s="118" customFormat="1" ht="12.75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-115.06530050866279</v>
      </c>
      <c r="Q19" s="3"/>
      <c r="R19" s="3"/>
      <c r="S19" s="3"/>
      <c r="T19" s="3"/>
      <c r="U19" s="3"/>
      <c r="V19" s="119"/>
      <c r="X19" s="130"/>
    </row>
    <row r="20" spans="1:24" customFormat="1" ht="15">
      <c r="G20" s="7"/>
    </row>
    <row r="21" spans="1:24" s="118" customFormat="1" ht="12.75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-97.077737799993386</v>
      </c>
      <c r="Q21" s="3"/>
      <c r="R21" s="3"/>
      <c r="S21" s="3"/>
      <c r="T21" s="3"/>
      <c r="U21" s="3"/>
      <c r="V21" s="119"/>
      <c r="X21" s="130"/>
    </row>
    <row r="22" spans="1:24" ht="13.5" thickBot="1"/>
    <row r="23" spans="1:24" ht="13.5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-97.077737799993386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sheetProtection algorithmName="SHA-512" hashValue="OIZX4XwXQtOMgiDtBvXufLUhlhI7J6yFJOlkmgsw1OGBeiGqIk2ZN5GFvHcs4azarXidy7ZYopTVYtv498TJtg==" saltValue="lT7+Cu4nxjV4/siD4C6MRg==" spinCount="100000" sheet="1" objects="1" scenarios="1"/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K24" sqref="K24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80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100" customFormat="1" ht="33.75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2.75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5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2.75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2.75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2.75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67"/>
    </row>
    <row r="12" spans="1:24" s="153" customFormat="1" ht="12.75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67"/>
    </row>
    <row r="13" spans="1:24" s="153" customFormat="1" ht="12.75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67"/>
    </row>
    <row r="14" spans="1:24" s="153" customFormat="1" ht="12.75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67"/>
    </row>
    <row r="15" spans="1:24" s="153" customFormat="1" ht="12.75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67"/>
    </row>
    <row r="16" spans="1:24" s="153" customFormat="1" ht="12.75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67"/>
    </row>
    <row r="17" spans="2:22" s="153" customFormat="1" ht="12.75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67"/>
    </row>
    <row r="18" spans="2:22" s="153" customFormat="1" ht="12.75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67"/>
    </row>
    <row r="19" spans="2:22" s="153" customFormat="1" ht="12.75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67"/>
    </row>
    <row r="20" spans="2:22" s="153" customFormat="1" ht="12.75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67"/>
    </row>
    <row r="21" spans="2:22" s="153" customFormat="1" ht="12.75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67"/>
    </row>
    <row r="22" spans="2:22" s="153" customFormat="1" ht="12.75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67"/>
    </row>
    <row r="23" spans="2:22" s="153" customFormat="1" ht="12.75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2.75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>
        <v>1.9600131885767702E-2</v>
      </c>
      <c r="L24" s="202">
        <v>1.0776609381026869E-2</v>
      </c>
      <c r="M24" s="202">
        <v>2.1427497658355055E-2</v>
      </c>
      <c r="N24" s="202">
        <v>3.7419997584832831E-2</v>
      </c>
      <c r="O24" s="202">
        <v>0.03</v>
      </c>
      <c r="P24" s="202">
        <v>0.03</v>
      </c>
      <c r="Q24" s="202">
        <v>0.03</v>
      </c>
      <c r="R24" s="202">
        <v>0.03</v>
      </c>
      <c r="S24" s="202">
        <v>0.03</v>
      </c>
      <c r="T24" s="202">
        <v>0.03</v>
      </c>
      <c r="U24" s="202">
        <v>0.03</v>
      </c>
      <c r="V24" s="178"/>
    </row>
    <row r="25" spans="2:22" s="177" customFormat="1" ht="12.75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2.75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254.39023290549903</v>
      </c>
      <c r="L29" s="179">
        <f t="shared" si="2"/>
        <v>257.13169707587002</v>
      </c>
      <c r="M29" s="179">
        <f t="shared" si="2"/>
        <v>262.64138591285212</v>
      </c>
      <c r="N29" s="179">
        <f t="shared" si="2"/>
        <v>272.4694259393882</v>
      </c>
      <c r="O29" s="179">
        <f t="shared" si="2"/>
        <v>280.64350871756983</v>
      </c>
      <c r="P29" s="179">
        <f t="shared" si="2"/>
        <v>289.06281397909692</v>
      </c>
      <c r="Q29" s="179">
        <f t="shared" si="2"/>
        <v>297.73469839846985</v>
      </c>
      <c r="R29" s="179">
        <f t="shared" si="2"/>
        <v>306.66673935042394</v>
      </c>
      <c r="S29" s="179">
        <f t="shared" si="2"/>
        <v>315.86674153093668</v>
      </c>
      <c r="T29" s="179">
        <f t="shared" si="2"/>
        <v>325.34274377686478</v>
      </c>
      <c r="U29" s="179">
        <f t="shared" si="2"/>
        <v>335.10302609017072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254.90003297144193</v>
      </c>
      <c r="L30" s="179">
        <f t="shared" si="3"/>
        <v>257.64699105798604</v>
      </c>
      <c r="M30" s="179">
        <f t="shared" si="3"/>
        <v>263.16772135556329</v>
      </c>
      <c r="N30" s="179">
        <f t="shared" si="3"/>
        <v>273.01545685309441</v>
      </c>
      <c r="O30" s="179">
        <f t="shared" si="3"/>
        <v>281.20592055868724</v>
      </c>
      <c r="P30" s="179">
        <f t="shared" si="3"/>
        <v>289.64209817544787</v>
      </c>
      <c r="Q30" s="179">
        <f t="shared" si="3"/>
        <v>298.33136112071134</v>
      </c>
      <c r="R30" s="179">
        <f t="shared" si="3"/>
        <v>307.28130195433266</v>
      </c>
      <c r="S30" s="179">
        <f t="shared" si="3"/>
        <v>316.49974101296266</v>
      </c>
      <c r="T30" s="179">
        <f t="shared" si="3"/>
        <v>325.99473324335156</v>
      </c>
      <c r="U30" s="179">
        <f t="shared" si="3"/>
        <v>335.7745752406521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254.59415293187618</v>
      </c>
      <c r="L31" s="179">
        <f t="shared" si="3"/>
        <v>257.33781466871642</v>
      </c>
      <c r="M31" s="179">
        <f t="shared" si="3"/>
        <v>262.85192008993653</v>
      </c>
      <c r="N31" s="179">
        <f t="shared" si="3"/>
        <v>272.68783830487064</v>
      </c>
      <c r="O31" s="179">
        <f t="shared" si="3"/>
        <v>280.86847345401674</v>
      </c>
      <c r="P31" s="179">
        <f t="shared" si="3"/>
        <v>289.29452765763727</v>
      </c>
      <c r="Q31" s="179">
        <f t="shared" si="3"/>
        <v>297.97336348736638</v>
      </c>
      <c r="R31" s="179">
        <f t="shared" si="3"/>
        <v>306.91256439198736</v>
      </c>
      <c r="S31" s="179">
        <f t="shared" si="3"/>
        <v>316.11994132374701</v>
      </c>
      <c r="T31" s="179">
        <f t="shared" si="3"/>
        <v>325.60353956345944</v>
      </c>
      <c r="U31" s="179">
        <f t="shared" si="3"/>
        <v>335.3716457503632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254.59415293187618</v>
      </c>
      <c r="L32" s="179">
        <f t="shared" si="3"/>
        <v>257.33781466871642</v>
      </c>
      <c r="M32" s="179">
        <f t="shared" si="3"/>
        <v>262.85192008993653</v>
      </c>
      <c r="N32" s="179">
        <f t="shared" si="3"/>
        <v>272.68783830487064</v>
      </c>
      <c r="O32" s="179">
        <f t="shared" si="3"/>
        <v>280.86847345401674</v>
      </c>
      <c r="P32" s="179">
        <f t="shared" si="3"/>
        <v>289.29452765763727</v>
      </c>
      <c r="Q32" s="179">
        <f t="shared" si="3"/>
        <v>297.97336348736638</v>
      </c>
      <c r="R32" s="179">
        <f t="shared" si="3"/>
        <v>306.91256439198736</v>
      </c>
      <c r="S32" s="179">
        <f t="shared" si="3"/>
        <v>316.11994132374701</v>
      </c>
      <c r="T32" s="179">
        <f t="shared" si="3"/>
        <v>325.60353956345944</v>
      </c>
      <c r="U32" s="179">
        <f t="shared" si="3"/>
        <v>335.3716457503632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255.9196331033277</v>
      </c>
      <c r="L33" s="179">
        <f t="shared" si="3"/>
        <v>258.67757902221797</v>
      </c>
      <c r="M33" s="179">
        <f t="shared" si="3"/>
        <v>264.22039224098552</v>
      </c>
      <c r="N33" s="179">
        <f t="shared" si="3"/>
        <v>274.10751868050676</v>
      </c>
      <c r="O33" s="179">
        <f t="shared" si="3"/>
        <v>282.33074424092194</v>
      </c>
      <c r="P33" s="179">
        <f t="shared" si="3"/>
        <v>290.80066656814961</v>
      </c>
      <c r="Q33" s="179">
        <f t="shared" si="3"/>
        <v>299.52468656519409</v>
      </c>
      <c r="R33" s="179">
        <f t="shared" si="3"/>
        <v>308.51042716214994</v>
      </c>
      <c r="S33" s="179">
        <f t="shared" si="3"/>
        <v>317.76573997701445</v>
      </c>
      <c r="T33" s="179">
        <f t="shared" si="3"/>
        <v>327.2987121763249</v>
      </c>
      <c r="U33" s="179">
        <f t="shared" si="3"/>
        <v>337.11767354161464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256.83727322202486</v>
      </c>
      <c r="L34" s="179">
        <f t="shared" si="3"/>
        <v>259.60510819002667</v>
      </c>
      <c r="M34" s="179">
        <f t="shared" si="3"/>
        <v>265.16779603786546</v>
      </c>
      <c r="N34" s="179">
        <f t="shared" si="3"/>
        <v>275.09037432517783</v>
      </c>
      <c r="O34" s="179">
        <f t="shared" si="3"/>
        <v>283.34308555493317</v>
      </c>
      <c r="P34" s="179">
        <f t="shared" si="3"/>
        <v>291.84337812158117</v>
      </c>
      <c r="Q34" s="179">
        <f t="shared" si="3"/>
        <v>300.5986794652286</v>
      </c>
      <c r="R34" s="179">
        <f t="shared" si="3"/>
        <v>309.61663984918545</v>
      </c>
      <c r="S34" s="179">
        <f t="shared" si="3"/>
        <v>318.90513904466104</v>
      </c>
      <c r="T34" s="179">
        <f t="shared" si="3"/>
        <v>328.47229321600088</v>
      </c>
      <c r="U34" s="179">
        <f t="shared" si="3"/>
        <v>338.32646201248093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256.83727322202486</v>
      </c>
      <c r="L35" s="179">
        <f t="shared" si="3"/>
        <v>259.60510819002667</v>
      </c>
      <c r="M35" s="179">
        <f t="shared" si="3"/>
        <v>265.16779603786546</v>
      </c>
      <c r="N35" s="179">
        <f t="shared" si="3"/>
        <v>275.09037432517783</v>
      </c>
      <c r="O35" s="179">
        <f t="shared" si="3"/>
        <v>283.34308555493317</v>
      </c>
      <c r="P35" s="179">
        <f t="shared" si="3"/>
        <v>291.84337812158117</v>
      </c>
      <c r="Q35" s="179">
        <f t="shared" si="3"/>
        <v>300.5986794652286</v>
      </c>
      <c r="R35" s="179">
        <f t="shared" si="3"/>
        <v>309.61663984918545</v>
      </c>
      <c r="S35" s="179">
        <f t="shared" si="3"/>
        <v>318.90513904466104</v>
      </c>
      <c r="T35" s="179">
        <f t="shared" si="3"/>
        <v>328.47229321600088</v>
      </c>
      <c r="U35" s="179">
        <f t="shared" si="3"/>
        <v>338.32646201248093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257.04119324840201</v>
      </c>
      <c r="L36" s="179">
        <f t="shared" si="3"/>
        <v>259.81122578287307</v>
      </c>
      <c r="M36" s="179">
        <f t="shared" si="3"/>
        <v>265.37833021494993</v>
      </c>
      <c r="N36" s="179">
        <f t="shared" si="3"/>
        <v>275.30878669066033</v>
      </c>
      <c r="O36" s="179">
        <f t="shared" si="3"/>
        <v>283.56805029138013</v>
      </c>
      <c r="P36" s="179">
        <f t="shared" si="3"/>
        <v>292.07509180012153</v>
      </c>
      <c r="Q36" s="179">
        <f t="shared" si="3"/>
        <v>300.8373445541252</v>
      </c>
      <c r="R36" s="179">
        <f t="shared" si="3"/>
        <v>309.86246489074898</v>
      </c>
      <c r="S36" s="179">
        <f t="shared" si="3"/>
        <v>319.15833883747143</v>
      </c>
      <c r="T36" s="179">
        <f t="shared" si="3"/>
        <v>328.73308900259559</v>
      </c>
      <c r="U36" s="179">
        <f t="shared" si="3"/>
        <v>338.59508167267347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258.36667341985356</v>
      </c>
      <c r="L37" s="179">
        <f t="shared" si="3"/>
        <v>261.15099013637467</v>
      </c>
      <c r="M37" s="179">
        <f t="shared" si="3"/>
        <v>266.74680236599897</v>
      </c>
      <c r="N37" s="179">
        <f t="shared" si="3"/>
        <v>276.72846706629656</v>
      </c>
      <c r="O37" s="179">
        <f t="shared" si="3"/>
        <v>285.03032107828545</v>
      </c>
      <c r="P37" s="179">
        <f t="shared" si="3"/>
        <v>293.58123071063403</v>
      </c>
      <c r="Q37" s="179">
        <f t="shared" si="3"/>
        <v>302.38866763195307</v>
      </c>
      <c r="R37" s="179">
        <f t="shared" si="3"/>
        <v>311.46032766091167</v>
      </c>
      <c r="S37" s="179">
        <f t="shared" si="3"/>
        <v>320.80413749073904</v>
      </c>
      <c r="T37" s="179">
        <f t="shared" si="3"/>
        <v>330.42826161546122</v>
      </c>
      <c r="U37" s="179">
        <f t="shared" si="3"/>
        <v>340.34110946392508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257.55099331434491</v>
      </c>
      <c r="L38" s="179">
        <f t="shared" si="3"/>
        <v>260.32651976498909</v>
      </c>
      <c r="M38" s="179">
        <f t="shared" si="3"/>
        <v>265.9046656576611</v>
      </c>
      <c r="N38" s="179">
        <f t="shared" si="3"/>
        <v>275.85481760436653</v>
      </c>
      <c r="O38" s="179">
        <f t="shared" si="3"/>
        <v>284.13046213249754</v>
      </c>
      <c r="P38" s="179">
        <f t="shared" si="3"/>
        <v>292.65437599647248</v>
      </c>
      <c r="Q38" s="179">
        <f t="shared" si="3"/>
        <v>301.43400727636669</v>
      </c>
      <c r="R38" s="179">
        <f t="shared" si="3"/>
        <v>310.4770274946577</v>
      </c>
      <c r="S38" s="179">
        <f t="shared" si="3"/>
        <v>319.79133831949747</v>
      </c>
      <c r="T38" s="179">
        <f t="shared" si="3"/>
        <v>329.38507846908243</v>
      </c>
      <c r="U38" s="179">
        <f t="shared" si="3"/>
        <v>339.26663082315491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259.18235352536215</v>
      </c>
      <c r="L39" s="179">
        <f t="shared" si="3"/>
        <v>261.9754605077602</v>
      </c>
      <c r="M39" s="179">
        <f t="shared" si="3"/>
        <v>267.58893907433674</v>
      </c>
      <c r="N39" s="179">
        <f t="shared" si="3"/>
        <v>277.60211652822642</v>
      </c>
      <c r="O39" s="179">
        <f t="shared" si="3"/>
        <v>285.93018002407319</v>
      </c>
      <c r="P39" s="179">
        <f t="shared" si="3"/>
        <v>294.50808542479541</v>
      </c>
      <c r="Q39" s="179">
        <f t="shared" si="3"/>
        <v>303.34332798753928</v>
      </c>
      <c r="R39" s="179">
        <f t="shared" si="3"/>
        <v>312.44362782716547</v>
      </c>
      <c r="S39" s="179">
        <f t="shared" si="3"/>
        <v>321.81693666198044</v>
      </c>
      <c r="T39" s="179">
        <f t="shared" si="3"/>
        <v>331.47144476183985</v>
      </c>
      <c r="U39" s="179">
        <f t="shared" si="3"/>
        <v>341.41558810469508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259.79411360449365</v>
      </c>
      <c r="L40" s="179">
        <f t="shared" si="3"/>
        <v>262.59381328629939</v>
      </c>
      <c r="M40" s="179">
        <f t="shared" si="3"/>
        <v>268.22054160559009</v>
      </c>
      <c r="N40" s="179">
        <f t="shared" si="3"/>
        <v>278.25735362467384</v>
      </c>
      <c r="O40" s="179">
        <f t="shared" si="3"/>
        <v>286.60507423341409</v>
      </c>
      <c r="P40" s="179">
        <f t="shared" si="3"/>
        <v>295.20322646041654</v>
      </c>
      <c r="Q40" s="179">
        <f t="shared" si="3"/>
        <v>304.05932325422907</v>
      </c>
      <c r="R40" s="179">
        <f t="shared" si="3"/>
        <v>313.18110295185596</v>
      </c>
      <c r="S40" s="179">
        <f t="shared" si="3"/>
        <v>322.57653604041167</v>
      </c>
      <c r="T40" s="179">
        <f t="shared" si="3"/>
        <v>332.25383212162404</v>
      </c>
      <c r="U40" s="179">
        <f t="shared" si="3"/>
        <v>342.22144708527276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256.66733986671056</v>
      </c>
      <c r="L41" s="182">
        <f t="shared" si="4"/>
        <v>259.43334352932135</v>
      </c>
      <c r="M41" s="182">
        <f t="shared" si="4"/>
        <v>264.99235089029514</v>
      </c>
      <c r="N41" s="182">
        <f t="shared" si="4"/>
        <v>274.90836402060916</v>
      </c>
      <c r="O41" s="182">
        <f t="shared" si="4"/>
        <v>283.15561494122744</v>
      </c>
      <c r="P41" s="182">
        <f t="shared" si="4"/>
        <v>291.65028338946422</v>
      </c>
      <c r="Q41" s="182">
        <f t="shared" si="4"/>
        <v>300.39979189114825</v>
      </c>
      <c r="R41" s="182">
        <f t="shared" si="4"/>
        <v>309.41178564788265</v>
      </c>
      <c r="S41" s="182">
        <f t="shared" si="4"/>
        <v>318.69413921731916</v>
      </c>
      <c r="T41" s="182">
        <f t="shared" si="4"/>
        <v>328.25496339383875</v>
      </c>
      <c r="U41" s="182">
        <f t="shared" si="4"/>
        <v>338.10261229565396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1.0777408521945577</v>
      </c>
      <c r="M45" s="254">
        <f t="shared" si="5"/>
        <v>1.0893552443726333</v>
      </c>
      <c r="N45" s="254">
        <f>IF(Indexation.November.Override&lt;&gt;"",Indexation.November.Override,IF($H$36=0,0,M36/$H$36))</f>
        <v>1.1126974013205448</v>
      </c>
      <c r="O45" s="254">
        <f t="shared" si="5"/>
        <v>1.1543345353906094</v>
      </c>
      <c r="P45" s="254">
        <f t="shared" si="5"/>
        <v>1.1889645714523276</v>
      </c>
      <c r="Q45" s="254">
        <f t="shared" si="5"/>
        <v>1.2246335085958975</v>
      </c>
      <c r="R45" s="254">
        <f t="shared" si="5"/>
        <v>1.2613725138537744</v>
      </c>
      <c r="S45" s="254">
        <f t="shared" si="5"/>
        <v>1.2992136892693877</v>
      </c>
      <c r="T45" s="254">
        <f t="shared" si="5"/>
        <v>1.3381900999474694</v>
      </c>
      <c r="U45" s="254">
        <f t="shared" si="5"/>
        <v>1.3783358029458934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1.0490133436873836</v>
      </c>
      <c r="L49" s="254">
        <f t="shared" si="6"/>
        <v>1.0603181507277872</v>
      </c>
      <c r="M49" s="254">
        <f t="shared" si="6"/>
        <v>1.0830381154196185</v>
      </c>
      <c r="N49" s="254">
        <f>IF(Indexation.Average.Override&lt;&gt;"",Indexation.Average.Override,IF($I41=0,0,N41/$I41))</f>
        <v>1.1235653990829024</v>
      </c>
      <c r="O49" s="254">
        <f t="shared" si="6"/>
        <v>1.1572723610553897</v>
      </c>
      <c r="P49" s="254">
        <f t="shared" si="6"/>
        <v>1.1919905318870512</v>
      </c>
      <c r="Q49" s="254">
        <f t="shared" si="6"/>
        <v>1.227750247843663</v>
      </c>
      <c r="R49" s="254">
        <f t="shared" si="6"/>
        <v>1.2645827552789728</v>
      </c>
      <c r="S49" s="254">
        <f t="shared" si="6"/>
        <v>1.3025202379373422</v>
      </c>
      <c r="T49" s="254">
        <f t="shared" si="6"/>
        <v>1.3415958450754624</v>
      </c>
      <c r="U49" s="254">
        <f t="shared" si="6"/>
        <v>1.3818437204277265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1.9600131885767702E-2</v>
      </c>
      <c r="L51" s="188">
        <f>IF(K49=0,0,(L49/K49)-1)</f>
        <v>1.0776609381026647E-2</v>
      </c>
      <c r="M51" s="188">
        <f>IF(L49=0,0,(M49/L49)-1)</f>
        <v>2.1427497658355277E-2</v>
      </c>
      <c r="N51" s="188">
        <f t="shared" si="7"/>
        <v>3.7419997584832831E-2</v>
      </c>
      <c r="O51" s="188">
        <f t="shared" si="7"/>
        <v>3.0000000000000249E-2</v>
      </c>
      <c r="P51" s="188">
        <f t="shared" si="7"/>
        <v>2.9999999999999805E-2</v>
      </c>
      <c r="Q51" s="188">
        <f t="shared" si="7"/>
        <v>3.0000000000000249E-2</v>
      </c>
      <c r="R51" s="188">
        <f t="shared" si="7"/>
        <v>2.9999999999999805E-2</v>
      </c>
      <c r="S51" s="188">
        <f t="shared" si="7"/>
        <v>3.0000000000000249E-2</v>
      </c>
      <c r="T51" s="188">
        <f t="shared" si="7"/>
        <v>3.0000000000000027E-2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sheetProtection algorithmName="SHA-512" hashValue="MTa2v89+Pd2vJ7FpTYr6jkrceBUvdgM8yrHOb2ZbuzG4+z2hFOiZQvMfTlLwCIMmCw7afvAh51Mc116yzTNTuw==" saltValue="tqLIbAa9fPE7Dl7iJy/pWQ==" spinCount="100000" sheet="1" objects="1" scenarios="1"/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2.75">
      <c r="V4" s="135"/>
    </row>
    <row r="5" spans="1:22" ht="12.75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2.75"/>
    <row r="8" spans="1:22" ht="13.5" thickBot="1"/>
    <row r="9" spans="1:22" ht="13.5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2.75"/>
    <row r="11" spans="1:22" ht="12.75" hidden="1"/>
  </sheetData>
  <sheetProtection algorithmName="SHA-512" hashValue="Y6zbDf2GZej2gwQ9USzTsYpaEvLVS7DwqXWwJtnyrZwa6i0t4xKuSpxQKq9B6n9gYHolrGpM+1NTaTu61IbneQ==" saltValue="UemUYmD0ihhkL+koamL+e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oregSeniorManagerTriggerDate xmlns="7192ae00-d4fd-49ae-a62e-bdd9baa466d2">2018-06-03T23:00:00+00:00</ecoregSeniorManagerTriggerDate>
    <ecoregMethodologyUploaded xmlns="7192ae00-d4fd-49ae-a62e-bdd9baa466d2">Yes</ecoregMethodologyUploaded>
    <ecoregDataProviderComments xmlns="7192ae00-d4fd-49ae-a62e-bdd9baa466d2" xsi:nil="true"/>
    <ecoregPreviousStatus xmlns="7192ae00-d4fd-49ae-a62e-bdd9baa466d2">Complete</ecoregPreviousStatus>
    <ecoregAuditorTriggerDate xmlns="7192ae00-d4fd-49ae-a62e-bdd9baa466d2" xsi:nil="true"/>
    <ecoregDataReviewerComments xmlns="7192ae00-d4fd-49ae-a62e-bdd9baa466d2" xsi:nil="true"/>
    <ecoregDataProviderTriggerDate xmlns="7192ae00-d4fd-49ae-a62e-bdd9baa466d2">2018-05-08T23:00:00+00:00</ecoregDataProviderTriggerDate>
    <ecoregAuditorComments xmlns="7192ae00-d4fd-49ae-a62e-bdd9baa466d2" xsi:nil="true"/>
    <ecoregSeniorManagerComments xmlns="7192ae00-d4fd-49ae-a62e-bdd9baa466d2" xsi:nil="true"/>
    <Regulatory_x0020_Reports_x0020_Library_x0020_Workflow_x0020_1202_x002d_01 xmlns="e56acf47-464f-484f-b26f-0b037f25e56c">
      <Url xsi:nil="true"/>
      <Description xsi:nil="true"/>
    </Regulatory_x0020_Reports_x0020_Library_x0020_Workflow_x0020_1202_x002d_01>
    <ecoregDataReviewer xmlns="7192ae00-d4fd-49ae-a62e-bdd9baa466d2">
      <UserInfo>
        <DisplayName>Neil Rutherford</DisplayName>
        <AccountId>644</AccountId>
        <AccountType/>
      </UserInfo>
    </ecoregDataReviewer>
    <ecoregSeniorManager xmlns="7192ae00-d4fd-49ae-a62e-bdd9baa466d2">
      <UserInfo>
        <DisplayName>Chris Watson (Asset Planning)</DisplayName>
        <AccountId>654</AccountId>
        <AccountType/>
      </UserInfo>
    </ecoregSeniorManager>
    <ecoregDataReviewerTriggerDate xmlns="7192ae00-d4fd-49ae-a62e-bdd9baa466d2">2018-05-10T23:00:00+00:00</ecoregDataReviewerTriggerDate>
    <ecoregDataProvider xmlns="7192ae00-d4fd-49ae-a62e-bdd9baa466d2">
      <UserInfo>
        <DisplayName>Crawford Winton</DisplayName>
        <AccountId>615</AccountId>
        <AccountType/>
      </UserInfo>
    </ecoregDataProvider>
    <ecoregAuditor xmlns="7192ae00-d4fd-49ae-a62e-bdd9baa466d2">
      <UserInfo>
        <DisplayName>Ian Burnett</DisplayName>
        <AccountId>626</AccountId>
        <AccountType/>
      </UserInfo>
    </ecoregAuditor>
    <ecoregStatus xmlns="7192ae00-d4fd-49ae-a62e-bdd9baa466d2">Complete</ecoreg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WG Regulatory Reports" ma:contentTypeID="0x010100D269F015FFF94123ABA214BBDDBEAC31008575088CA72BBD41ACE7BAD3A60FC90B" ma:contentTypeVersion="24" ma:contentTypeDescription="Create a new document." ma:contentTypeScope="" ma:versionID="c5bd8c9c1e383764dfa42b1b69740608">
  <xsd:schema xmlns:xsd="http://www.w3.org/2001/XMLSchema" xmlns:xs="http://www.w3.org/2001/XMLSchema" xmlns:p="http://schemas.microsoft.com/office/2006/metadata/properties" xmlns:ns2="7192ae00-d4fd-49ae-a62e-bdd9baa466d2" xmlns:ns3="e56acf47-464f-484f-b26f-0b037f25e56c" xmlns:ns4="9fe40a70-c2be-44b1-b438-8698d9f6fc58" targetNamespace="http://schemas.microsoft.com/office/2006/metadata/properties" ma:root="true" ma:fieldsID="7493c003fb69630436ce470564578d92" ns2:_="" ns3:_="" ns4:_="">
    <xsd:import namespace="7192ae00-d4fd-49ae-a62e-bdd9baa466d2"/>
    <xsd:import namespace="e56acf47-464f-484f-b26f-0b037f25e56c"/>
    <xsd:import namespace="9fe40a70-c2be-44b1-b438-8698d9f6fc58"/>
    <xsd:element name="properties">
      <xsd:complexType>
        <xsd:sequence>
          <xsd:element name="documentManagement">
            <xsd:complexType>
              <xsd:all>
                <xsd:element ref="ns2:ecoregDataProvider"/>
                <xsd:element ref="ns2:ecoregDataReviewer"/>
                <xsd:element ref="ns2:ecoregAuditor"/>
                <xsd:element ref="ns2:ecoregSeniorManager"/>
                <xsd:element ref="ns2:ecoregPreviousStatus"/>
                <xsd:element ref="ns2:ecoregStatus"/>
                <xsd:element ref="ns2:ecoregDataProviderTriggerDate" minOccurs="0"/>
                <xsd:element ref="ns2:ecoregDataReviewerTriggerDate" minOccurs="0"/>
                <xsd:element ref="ns2:ecoregSeniorManagerTriggerDate" minOccurs="0"/>
                <xsd:element ref="ns2:ecoregAuditorTriggerDate" minOccurs="0"/>
                <xsd:element ref="ns2:ecoregMethodologyUploaded" minOccurs="0"/>
                <xsd:element ref="ns2:ecoregDataProviderComments" minOccurs="0"/>
                <xsd:element ref="ns2:ecoregDataReviewerComments" minOccurs="0"/>
                <xsd:element ref="ns2:ecoregSeniorManagerComments" minOccurs="0"/>
                <xsd:element ref="ns2:ecoregAuditorComments" minOccurs="0"/>
                <xsd:element ref="ns3:MediaServiceMetadata" minOccurs="0"/>
                <xsd:element ref="ns3:MediaServiceFastMetadata" minOccurs="0"/>
                <xsd:element ref="ns3:Regulatory_x0020_Reports_x0020_Library_x0020_Workflow_x0020_1202_x002d_01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2ae00-d4fd-49ae-a62e-bdd9baa466d2" elementFormDefault="qualified">
    <xsd:import namespace="http://schemas.microsoft.com/office/2006/documentManagement/types"/>
    <xsd:import namespace="http://schemas.microsoft.com/office/infopath/2007/PartnerControls"/>
    <xsd:element name="ecoregDataProvider" ma:index="8" ma:displayName="Data Provider" ma:internalName="ecoregDataProvi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DataReviewer" ma:index="9" ma:displayName="Data Reviewer" ma:internalName="ecoregData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Auditor" ma:index="10" ma:displayName="Auditor" ma:internalName="ecoregAudi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SeniorManager" ma:index="11" ma:displayName="Senior Manager" ma:internalName="ecoregSenior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PreviousStatus" ma:index="12" ma:displayName="Previous Status" ma:default="Data Provider" ma:internalName="ecoregPrevious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Status" ma:index="13" ma:displayName="Status" ma:default="Data Provider" ma:internalName="ecoreg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DataProviderTriggerDate" ma:index="14" nillable="true" ma:displayName="Data Provider Trigger Date" ma:format="DateOnly" ma:internalName="ecoregDataProviderTriggerDate">
      <xsd:simpleType>
        <xsd:restriction base="dms:DateTime"/>
      </xsd:simpleType>
    </xsd:element>
    <xsd:element name="ecoregDataReviewerTriggerDate" ma:index="15" nillable="true" ma:displayName="Data Reviewer Trigger Date" ma:format="DateOnly" ma:internalName="ecoregDataReviewerTriggerDate">
      <xsd:simpleType>
        <xsd:restriction base="dms:DateTime"/>
      </xsd:simpleType>
    </xsd:element>
    <xsd:element name="ecoregSeniorManagerTriggerDate" ma:index="16" nillable="true" ma:displayName="Senior Manager Trigger Date" ma:format="DateOnly" ma:internalName="ecoregSeniorManagerTriggerDate">
      <xsd:simpleType>
        <xsd:restriction base="dms:DateTime"/>
      </xsd:simpleType>
    </xsd:element>
    <xsd:element name="ecoregAuditorTriggerDate" ma:index="17" nillable="true" ma:displayName="Auditor Trigger Date" ma:format="DateOnly" ma:internalName="ecoregAuditorTriggerDate">
      <xsd:simpleType>
        <xsd:restriction base="dms:DateTime"/>
      </xsd:simpleType>
    </xsd:element>
    <xsd:element name="ecoregMethodologyUploaded" ma:index="18" nillable="true" ma:displayName="Methodology Uploaded" ma:default="No" ma:internalName="ecoregMethodologyUploaded">
      <xsd:simpleType>
        <xsd:restriction base="dms:Choice">
          <xsd:enumeration value="No"/>
          <xsd:enumeration value="Yes"/>
        </xsd:restriction>
      </xsd:simpleType>
    </xsd:element>
    <xsd:element name="ecoregDataProviderComments" ma:index="19" nillable="true" ma:displayName="Data Provider Comments" ma:internalName="ecoregDataProviderComments">
      <xsd:simpleType>
        <xsd:restriction base="dms:Note"/>
      </xsd:simpleType>
    </xsd:element>
    <xsd:element name="ecoregDataReviewerComments" ma:index="20" nillable="true" ma:displayName="Data Reviewer Comments" ma:internalName="ecoregDataReviewerComments">
      <xsd:simpleType>
        <xsd:restriction base="dms:Note"/>
      </xsd:simpleType>
    </xsd:element>
    <xsd:element name="ecoregSeniorManagerComments" ma:index="21" nillable="true" ma:displayName="Senior Manager Comments" ma:internalName="ecoregSeniorManagerComments">
      <xsd:simpleType>
        <xsd:restriction base="dms:Note"/>
      </xsd:simpleType>
    </xsd:element>
    <xsd:element name="ecoregAuditorComments" ma:index="22" nillable="true" ma:displayName="Auditor Comments" ma:internalName="ecoregAuditor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acf47-464f-484f-b26f-0b037f25e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Regulatory_x0020_Reports_x0020_Library_x0020_Workflow_x0020_1202_x002d_01" ma:index="25" nillable="true" ma:displayName="Regulatory Reports Library Workflow 0203-01" ma:internalName="Regulatory_x0020_Reports_x0020_Library_x0020_Workflow_x0020_1202_x002d_0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40a70-c2be-44b1-b438-8698d9f6fc58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507CBE-E756-4D46-AD04-28C950230A4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192ae00-d4fd-49ae-a62e-bdd9baa466d2"/>
    <ds:schemaRef ds:uri="e56acf47-464f-484f-b26f-0b037f25e56c"/>
    <ds:schemaRef ds:uri="http://schemas.microsoft.com/office/2006/metadata/properties"/>
    <ds:schemaRef ds:uri="http://purl.org/dc/elements/1.1/"/>
    <ds:schemaRef ds:uri="9fe40a70-c2be-44b1-b438-8698d9f6fc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92F09E-0670-43F3-A276-E46A7FC65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2ae00-d4fd-49ae-a62e-bdd9baa466d2"/>
    <ds:schemaRef ds:uri="e56acf47-464f-484f-b26f-0b037f25e56c"/>
    <ds:schemaRef ds:uri="9fe40a70-c2be-44b1-b438-8698d9f6f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844326-8AD7-4781-8223-EBC8579D2D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Mark Charlton</cp:lastModifiedBy>
  <dcterms:created xsi:type="dcterms:W3CDTF">2015-03-03T21:58:54Z</dcterms:created>
  <dcterms:modified xsi:type="dcterms:W3CDTF">2019-08-07T15:08:33Z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0x010100D269F015FFF94123ABA214BBDDBEAC31008575088CA72BBD41ACE7BAD3A60FC90B</vt:lpwstr>
  </property>
  <property fmtid="{D5CDD505-2E9C-101B-9397-08002B2CF9AE}" pid="3" name="SV_QUERY_LIST_4F35BF76-6C0D-4D9B-82B2-816C12CF3733">
    <vt:lpwstr>empty_477D106A-C0D6-4607-AEBD-E2C9D60EA279</vt:lpwstr>
  </property>
</Properties>
</file>